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defaultThemeVersion="166925"/>
  <mc:AlternateContent xmlns:mc="http://schemas.openxmlformats.org/markup-compatibility/2006">
    <mc:Choice Requires="x15">
      <x15ac:absPath xmlns:x15ac="http://schemas.microsoft.com/office/spreadsheetml/2010/11/ac" url="C:\Users\Bohra\Desktop\ボーラほむぺ\Bohra2017\comparebrown\"/>
    </mc:Choice>
  </mc:AlternateContent>
  <bookViews>
    <workbookView xWindow="0" yWindow="0" windowWidth="23385" windowHeight="11085"/>
  </bookViews>
  <sheets>
    <sheet name="表紙" sheetId="29" r:id="rId1"/>
    <sheet name="外界条件" sheetId="1" r:id="rId2"/>
    <sheet name="位置情報" sheetId="2" r:id="rId3"/>
    <sheet name="外気温度等" sheetId="3" r:id="rId4"/>
    <sheet name="ETD(OW1)" sheetId="4" r:id="rId5"/>
    <sheet name="非空調室温度" sheetId="5" r:id="rId6"/>
    <sheet name="ガラス日射（標準）" sheetId="6" r:id="rId7"/>
    <sheet name="ガラス日射（2F）" sheetId="7" r:id="rId8"/>
    <sheet name="熱貫流率" sheetId="8" r:id="rId9"/>
    <sheet name="熱貫流率表" sheetId="9" r:id="rId10"/>
    <sheet name="各室熱負荷" sheetId="10" r:id="rId11"/>
    <sheet name="201" sheetId="11" r:id="rId12"/>
    <sheet name="202" sheetId="12" r:id="rId13"/>
    <sheet name="203" sheetId="13" r:id="rId14"/>
    <sheet name="204" sheetId="14" r:id="rId15"/>
    <sheet name="205" sheetId="15" r:id="rId16"/>
    <sheet name="206" sheetId="16" r:id="rId17"/>
    <sheet name="207" sheetId="17" r:id="rId18"/>
    <sheet name="208" sheetId="18" r:id="rId19"/>
    <sheet name="209" sheetId="19" r:id="rId20"/>
    <sheet name="210" sheetId="20" r:id="rId21"/>
    <sheet name="211" sheetId="21" r:id="rId22"/>
    <sheet name="系統別集計" sheetId="22" r:id="rId23"/>
    <sheet name="ACU-2系統集計表" sheetId="23" r:id="rId24"/>
    <sheet name="ACU-2系統空気線図" sheetId="24" r:id="rId25"/>
    <sheet name="熱源集計" sheetId="25" r:id="rId26"/>
    <sheet name="RH-1系統冷熱源" sheetId="26" r:id="rId27"/>
    <sheet name="RH-1系統温熱源" sheetId="27" r:id="rId28"/>
    <sheet name="市水系統加湿源" sheetId="28" r:id="rId29"/>
  </sheets>
  <definedNames>
    <definedName name="ID" localSheetId="11">'201'!$HH$1</definedName>
    <definedName name="ID" localSheetId="12">'202'!$HH$1</definedName>
    <definedName name="ID" localSheetId="13">'203'!$HH$1</definedName>
    <definedName name="ID" localSheetId="14">'204'!$HH$1</definedName>
    <definedName name="ID" localSheetId="15">'205'!$HH$1</definedName>
    <definedName name="ID" localSheetId="16">'206'!$HH$1</definedName>
    <definedName name="ID" localSheetId="17">'207'!$HH$1</definedName>
    <definedName name="ID" localSheetId="18">'208'!$HH$1</definedName>
    <definedName name="ID" localSheetId="19">'209'!$HH$1</definedName>
    <definedName name="ID" localSheetId="20">'210'!$HH$1</definedName>
    <definedName name="ID" localSheetId="21">'211'!$HH$1</definedName>
    <definedName name="ID" localSheetId="1">外界条件!$D$1</definedName>
    <definedName name="ID" localSheetId="10">各室熱負荷!$D$1</definedName>
    <definedName name="ID" localSheetId="22">系統別集計!$D$1</definedName>
    <definedName name="ID" localSheetId="8">熱貫流率!$D$1</definedName>
    <definedName name="ID" localSheetId="25">熱源集計!$D$1</definedName>
    <definedName name="ID" localSheetId="0">表紙!$K$1</definedName>
    <definedName name="_xlnm.Print_Area" localSheetId="11">'201'!$A$1:$HC$69</definedName>
    <definedName name="_xlnm.Print_Area" localSheetId="12">'202'!$A$1:$HC$69</definedName>
    <definedName name="_xlnm.Print_Area" localSheetId="13">'203'!$A$1:$HC$69</definedName>
    <definedName name="_xlnm.Print_Area" localSheetId="14">'204'!$A$1:$HC$69</definedName>
    <definedName name="_xlnm.Print_Area" localSheetId="15">'205'!$A$1:$HC$69</definedName>
    <definedName name="_xlnm.Print_Area" localSheetId="16">'206'!$A$1:$HC$69</definedName>
    <definedName name="_xlnm.Print_Area" localSheetId="17">'207'!$A$1:$HC$69</definedName>
    <definedName name="_xlnm.Print_Area" localSheetId="18">'208'!$A$1:$HC$69</definedName>
    <definedName name="_xlnm.Print_Area" localSheetId="19">'209'!$A$1:$HC$69</definedName>
    <definedName name="_xlnm.Print_Area" localSheetId="20">'210'!$A$1:$HC$69</definedName>
    <definedName name="_xlnm.Print_Area" localSheetId="21">'211'!$A$1:$HC$69</definedName>
    <definedName name="_xlnm.Print_Area" localSheetId="23">'ACU-2系統集計表'!$A$7:$Y$48</definedName>
    <definedName name="_xlnm.Print_Area" localSheetId="27">'RH-1系統温熱源'!$A$6:$G$41</definedName>
    <definedName name="_xlnm.Print_Area" localSheetId="26">'RH-1系統冷熱源'!$A$6:$AC$58</definedName>
    <definedName name="_xlnm.Print_Area" localSheetId="7">'ガラス日射（2F）'!$A$1:$AB$96</definedName>
    <definedName name="_xlnm.Print_Area" localSheetId="6">'ガラス日射（標準）'!$A$1:$AB$96</definedName>
    <definedName name="_xlnm.Print_Area" localSheetId="2">位置情報!$A$1:$AA$40</definedName>
    <definedName name="_xlnm.Print_Area" localSheetId="1">外界条件!$A$1:$A$16</definedName>
    <definedName name="_xlnm.Print_Area" localSheetId="10">各室熱負荷!$A$1:$A$16</definedName>
    <definedName name="_xlnm.Print_Area" localSheetId="22">系統別集計!$A$1:$A$16</definedName>
    <definedName name="_xlnm.Print_Area" localSheetId="28">市水系統加湿源!$A$7:$R$40</definedName>
    <definedName name="_xlnm.Print_Area" localSheetId="8">熱貫流率!$A$1:$A$16</definedName>
    <definedName name="_xlnm.Print_Area" localSheetId="9">熱貫流率表!$A$6:$L$39</definedName>
    <definedName name="_xlnm.Print_Area" localSheetId="25">熱源集計!$A$1:$A$16</definedName>
    <definedName name="_xlnm.Print_Area" localSheetId="5">非空調室温度!$A$1:$E$29</definedName>
    <definedName name="_xlnm.Print_Area" localSheetId="0">表紙!$A$1:$E$13</definedName>
    <definedName name="_xlnm.Print_Titles" localSheetId="23">'ACU-2系統集計表'!$1:$6</definedName>
    <definedName name="_xlnm.Print_Titles" localSheetId="27">'RH-1系統温熱源'!$1:$5</definedName>
    <definedName name="_xlnm.Print_Titles" localSheetId="26">'RH-1系統冷熱源'!$1:$5</definedName>
    <definedName name="_xlnm.Print_Titles" localSheetId="7">'ガラス日射（2F）'!$1:$9</definedName>
    <definedName name="_xlnm.Print_Titles" localSheetId="6">'ガラス日射（標準）'!$1:$9</definedName>
    <definedName name="_xlnm.Print_Titles" localSheetId="28">市水系統加湿源!$1:$6</definedName>
    <definedName name="_xlnm.Print_Titles" localSheetId="9">熱貫流率表!$1:$5</definedName>
    <definedName name="会社名" localSheetId="0">表紙!$A$10</definedName>
    <definedName name="顧客名" localSheetId="0">表紙!$A$1</definedName>
    <definedName name="室NO" localSheetId="11">'201'!$B$3</definedName>
    <definedName name="室NO" localSheetId="12">'202'!$B$3</definedName>
    <definedName name="室NO" localSheetId="13">'203'!$B$3</definedName>
    <definedName name="室NO" localSheetId="14">'204'!$B$3</definedName>
    <definedName name="室NO" localSheetId="15">'205'!$B$3</definedName>
    <definedName name="室NO" localSheetId="16">'206'!$B$3</definedName>
    <definedName name="室NO" localSheetId="17">'207'!$B$3</definedName>
    <definedName name="室NO" localSheetId="18">'208'!$B$3</definedName>
    <definedName name="室NO" localSheetId="19">'209'!$B$3</definedName>
    <definedName name="室NO" localSheetId="20">'210'!$B$3</definedName>
    <definedName name="室NO" localSheetId="21">'211'!$B$3</definedName>
    <definedName name="日付" localSheetId="0">表紙!$A$8</definedName>
    <definedName name="面積" localSheetId="11">'201'!$D$5</definedName>
    <definedName name="面積" localSheetId="12">'202'!$D$5</definedName>
    <definedName name="面積" localSheetId="13">'203'!$D$5</definedName>
    <definedName name="面積" localSheetId="14">'204'!$D$5</definedName>
    <definedName name="面積" localSheetId="15">'205'!$D$5</definedName>
    <definedName name="面積" localSheetId="16">'206'!$D$5</definedName>
    <definedName name="面積" localSheetId="17">'207'!$D$5</definedName>
    <definedName name="面積" localSheetId="18">'208'!$D$5</definedName>
    <definedName name="面積" localSheetId="19">'209'!$D$5</definedName>
    <definedName name="面積" localSheetId="20">'210'!$D$5</definedName>
    <definedName name="面積" localSheetId="21">'211'!$D$5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U16" i="21" l="1"/>
  <c r="FR16" i="21"/>
  <c r="FH16" i="21"/>
  <c r="FF16" i="21"/>
  <c r="FD16" i="21"/>
  <c r="FB16" i="21"/>
  <c r="EZ16" i="21"/>
  <c r="EX16" i="21"/>
  <c r="EV16" i="21"/>
  <c r="ET16" i="21"/>
  <c r="ER16" i="21"/>
  <c r="EP16" i="21"/>
  <c r="EN16" i="21"/>
  <c r="EL16" i="21"/>
  <c r="EJ16" i="21"/>
  <c r="EH16" i="21"/>
  <c r="EF16" i="21"/>
  <c r="ED16" i="21"/>
  <c r="EB16" i="21"/>
  <c r="DZ16" i="21"/>
  <c r="DX16" i="21"/>
  <c r="DV16" i="21"/>
  <c r="DT16" i="21"/>
  <c r="DR16" i="21"/>
  <c r="DP16" i="21"/>
  <c r="DN16" i="21"/>
  <c r="DE16" i="21"/>
  <c r="DC16" i="21"/>
  <c r="DA16" i="21"/>
  <c r="CY16" i="21"/>
  <c r="CW16" i="21"/>
  <c r="CU16" i="21"/>
  <c r="CS16" i="21"/>
  <c r="CQ16" i="21"/>
  <c r="CO16" i="21"/>
  <c r="CM16" i="21"/>
  <c r="CK16" i="21"/>
  <c r="CI16" i="21"/>
  <c r="CG16" i="21"/>
  <c r="CE16" i="21"/>
  <c r="CC16" i="21"/>
  <c r="CA16" i="21"/>
  <c r="BY16" i="21"/>
  <c r="BW16" i="21"/>
  <c r="BU16" i="21"/>
  <c r="BS16" i="21"/>
  <c r="BQ16" i="21"/>
  <c r="BO16" i="21"/>
  <c r="BM16" i="21"/>
  <c r="BK16" i="21"/>
  <c r="BB16" i="21"/>
  <c r="AZ16" i="21"/>
  <c r="AX16" i="21"/>
  <c r="AV16" i="21"/>
  <c r="AT16" i="21"/>
  <c r="AR16" i="21"/>
  <c r="AP16" i="21"/>
  <c r="AN16" i="21"/>
  <c r="AL16" i="21"/>
  <c r="AJ16" i="21"/>
  <c r="AH16" i="21"/>
  <c r="AF16" i="21"/>
  <c r="AD16" i="21"/>
  <c r="AB16" i="21"/>
  <c r="Z16" i="21"/>
  <c r="X16" i="21"/>
  <c r="V16" i="21"/>
  <c r="T16" i="21"/>
  <c r="R16" i="21"/>
  <c r="P16" i="21"/>
  <c r="N16" i="21"/>
  <c r="L16" i="21"/>
  <c r="J16" i="21"/>
  <c r="H16" i="21"/>
  <c r="DM68" i="21"/>
  <c r="BJ68" i="21"/>
  <c r="FU26" i="21"/>
  <c r="FR26" i="21"/>
  <c r="FH26" i="21"/>
  <c r="FF26" i="21"/>
  <c r="FD26" i="21"/>
  <c r="FB26" i="21"/>
  <c r="EZ26" i="21"/>
  <c r="EX26" i="21"/>
  <c r="EV26" i="21"/>
  <c r="ET26" i="21"/>
  <c r="ER26" i="21"/>
  <c r="EP26" i="21"/>
  <c r="EN26" i="21"/>
  <c r="EL26" i="21"/>
  <c r="EJ26" i="21"/>
  <c r="EH26" i="21"/>
  <c r="EF26" i="21"/>
  <c r="ED26" i="21"/>
  <c r="EB26" i="21"/>
  <c r="DZ26" i="21"/>
  <c r="DX26" i="21"/>
  <c r="DV26" i="21"/>
  <c r="DT26" i="21"/>
  <c r="DR26" i="21"/>
  <c r="DP26" i="21"/>
  <c r="DN26" i="21"/>
  <c r="DE26" i="21"/>
  <c r="DC26" i="21"/>
  <c r="DA26" i="21"/>
  <c r="CY26" i="21"/>
  <c r="CW26" i="21"/>
  <c r="CU26" i="21"/>
  <c r="CS26" i="21"/>
  <c r="CQ26" i="21"/>
  <c r="CO26" i="21"/>
  <c r="CM26" i="21"/>
  <c r="CK26" i="21"/>
  <c r="CI26" i="21"/>
  <c r="CG26" i="21"/>
  <c r="CE26" i="21"/>
  <c r="CC26" i="21"/>
  <c r="CA26" i="21"/>
  <c r="BY26" i="21"/>
  <c r="BW26" i="21"/>
  <c r="BU26" i="21"/>
  <c r="BS26" i="21"/>
  <c r="BQ26" i="21"/>
  <c r="BO26" i="21"/>
  <c r="BM26" i="21"/>
  <c r="BK26" i="21"/>
  <c r="BB26" i="21"/>
  <c r="AZ26" i="21"/>
  <c r="AX26" i="21"/>
  <c r="AV26" i="21"/>
  <c r="AT26" i="21"/>
  <c r="AR26" i="21"/>
  <c r="AP26" i="21"/>
  <c r="AN26" i="21"/>
  <c r="AL26" i="21"/>
  <c r="AJ26" i="21"/>
  <c r="AH26" i="21"/>
  <c r="AF26" i="21"/>
  <c r="AD26" i="21"/>
  <c r="AB26" i="21"/>
  <c r="Z26" i="21"/>
  <c r="X26" i="21"/>
  <c r="V26" i="21"/>
  <c r="T26" i="21"/>
  <c r="R26" i="21"/>
  <c r="P26" i="21"/>
  <c r="N26" i="21"/>
  <c r="L26" i="21"/>
  <c r="J26" i="21"/>
  <c r="H26" i="21"/>
  <c r="FU14" i="21"/>
  <c r="FR14" i="21"/>
  <c r="FH14" i="21"/>
  <c r="FF14" i="21"/>
  <c r="FD14" i="21"/>
  <c r="FB14" i="21"/>
  <c r="EZ14" i="21"/>
  <c r="EX14" i="21"/>
  <c r="EV14" i="21"/>
  <c r="ET14" i="21"/>
  <c r="ER14" i="21"/>
  <c r="EP14" i="21"/>
  <c r="EN14" i="21"/>
  <c r="EL14" i="21"/>
  <c r="EJ14" i="21"/>
  <c r="EH14" i="21"/>
  <c r="EF14" i="21"/>
  <c r="ED14" i="21"/>
  <c r="EB14" i="21"/>
  <c r="DZ14" i="21"/>
  <c r="DX14" i="21"/>
  <c r="DV14" i="21"/>
  <c r="DT14" i="21"/>
  <c r="DR14" i="21"/>
  <c r="DP14" i="21"/>
  <c r="DN14" i="21"/>
  <c r="DE14" i="21"/>
  <c r="DC14" i="21"/>
  <c r="DA14" i="21"/>
  <c r="CY14" i="21"/>
  <c r="CW14" i="21"/>
  <c r="CU14" i="21"/>
  <c r="CS14" i="21"/>
  <c r="CQ14" i="21"/>
  <c r="CO14" i="21"/>
  <c r="CM14" i="21"/>
  <c r="CK14" i="21"/>
  <c r="CI14" i="21"/>
  <c r="CG14" i="21"/>
  <c r="CE14" i="21"/>
  <c r="CC14" i="21"/>
  <c r="CA14" i="21"/>
  <c r="BY14" i="21"/>
  <c r="BW14" i="21"/>
  <c r="BU14" i="21"/>
  <c r="BS14" i="21"/>
  <c r="BQ14" i="21"/>
  <c r="BO14" i="21"/>
  <c r="BM14" i="21"/>
  <c r="BK14" i="21"/>
  <c r="BB14" i="21"/>
  <c r="AZ14" i="21"/>
  <c r="AX14" i="21"/>
  <c r="AV14" i="21"/>
  <c r="AT14" i="21"/>
  <c r="AR14" i="21"/>
  <c r="AP14" i="21"/>
  <c r="AN14" i="21"/>
  <c r="AL14" i="21"/>
  <c r="AJ14" i="21"/>
  <c r="AH14" i="21"/>
  <c r="AF14" i="21"/>
  <c r="AD14" i="21"/>
  <c r="AB14" i="21"/>
  <c r="Z14" i="21"/>
  <c r="X14" i="21"/>
  <c r="V14" i="21"/>
  <c r="T14" i="21"/>
  <c r="R14" i="21"/>
  <c r="P14" i="21"/>
  <c r="N14" i="21"/>
  <c r="L14" i="21"/>
  <c r="J14" i="21"/>
  <c r="H14" i="21"/>
  <c r="FE1" i="21"/>
  <c r="DB1" i="21"/>
  <c r="FU19" i="20"/>
  <c r="FR19" i="20"/>
  <c r="FH19" i="20"/>
  <c r="FF19" i="20"/>
  <c r="FD19" i="20"/>
  <c r="FB19" i="20"/>
  <c r="EZ19" i="20"/>
  <c r="EX19" i="20"/>
  <c r="EV19" i="20"/>
  <c r="ET19" i="20"/>
  <c r="ER19" i="20"/>
  <c r="EP19" i="20"/>
  <c r="EN19" i="20"/>
  <c r="EL19" i="20"/>
  <c r="EJ19" i="20"/>
  <c r="EH19" i="20"/>
  <c r="EF19" i="20"/>
  <c r="ED19" i="20"/>
  <c r="EB19" i="20"/>
  <c r="DZ19" i="20"/>
  <c r="DX19" i="20"/>
  <c r="DV19" i="20"/>
  <c r="DT19" i="20"/>
  <c r="DR19" i="20"/>
  <c r="DP19" i="20"/>
  <c r="DN19" i="20"/>
  <c r="DE19" i="20"/>
  <c r="DC19" i="20"/>
  <c r="DA19" i="20"/>
  <c r="CY19" i="20"/>
  <c r="CW19" i="20"/>
  <c r="CU19" i="20"/>
  <c r="CS19" i="20"/>
  <c r="CQ19" i="20"/>
  <c r="CO19" i="20"/>
  <c r="CM19" i="20"/>
  <c r="CK19" i="20"/>
  <c r="CI19" i="20"/>
  <c r="CG19" i="20"/>
  <c r="CE19" i="20"/>
  <c r="CC19" i="20"/>
  <c r="CA19" i="20"/>
  <c r="BY19" i="20"/>
  <c r="BW19" i="20"/>
  <c r="BU19" i="20"/>
  <c r="BS19" i="20"/>
  <c r="BQ19" i="20"/>
  <c r="BO19" i="20"/>
  <c r="BM19" i="20"/>
  <c r="BK19" i="20"/>
  <c r="BB19" i="20"/>
  <c r="AZ19" i="20"/>
  <c r="AX19" i="20"/>
  <c r="AV19" i="20"/>
  <c r="AT19" i="20"/>
  <c r="AR19" i="20"/>
  <c r="AP19" i="20"/>
  <c r="AN19" i="20"/>
  <c r="AL19" i="20"/>
  <c r="AJ19" i="20"/>
  <c r="AH19" i="20"/>
  <c r="AF19" i="20"/>
  <c r="AD19" i="20"/>
  <c r="AB19" i="20"/>
  <c r="Z19" i="20"/>
  <c r="X19" i="20"/>
  <c r="V19" i="20"/>
  <c r="T19" i="20"/>
  <c r="R19" i="20"/>
  <c r="P19" i="20"/>
  <c r="N19" i="20"/>
  <c r="L19" i="20"/>
  <c r="J19" i="20"/>
  <c r="H19" i="20"/>
  <c r="FU18" i="20"/>
  <c r="FR18" i="20"/>
  <c r="FH18" i="20"/>
  <c r="FF18" i="20"/>
  <c r="FD18" i="20"/>
  <c r="FB18" i="20"/>
  <c r="EZ18" i="20"/>
  <c r="EX18" i="20"/>
  <c r="EV18" i="20"/>
  <c r="ET18" i="20"/>
  <c r="ER18" i="20"/>
  <c r="EP18" i="20"/>
  <c r="EN18" i="20"/>
  <c r="EL18" i="20"/>
  <c r="EJ18" i="20"/>
  <c r="EH18" i="20"/>
  <c r="EF18" i="20"/>
  <c r="ED18" i="20"/>
  <c r="EB18" i="20"/>
  <c r="DZ18" i="20"/>
  <c r="DX18" i="20"/>
  <c r="DV18" i="20"/>
  <c r="DT18" i="20"/>
  <c r="DR18" i="20"/>
  <c r="DP18" i="20"/>
  <c r="DN18" i="20"/>
  <c r="DE18" i="20"/>
  <c r="DC18" i="20"/>
  <c r="DA18" i="20"/>
  <c r="CY18" i="20"/>
  <c r="CW18" i="20"/>
  <c r="CU18" i="20"/>
  <c r="CS18" i="20"/>
  <c r="CQ18" i="20"/>
  <c r="CO18" i="20"/>
  <c r="CM18" i="20"/>
  <c r="CK18" i="20"/>
  <c r="CI18" i="20"/>
  <c r="CG18" i="20"/>
  <c r="CE18" i="20"/>
  <c r="CC18" i="20"/>
  <c r="CA18" i="20"/>
  <c r="BY18" i="20"/>
  <c r="BW18" i="20"/>
  <c r="BU18" i="20"/>
  <c r="BS18" i="20"/>
  <c r="BQ18" i="20"/>
  <c r="BO18" i="20"/>
  <c r="BM18" i="20"/>
  <c r="BK18" i="20"/>
  <c r="BB18" i="20"/>
  <c r="AZ18" i="20"/>
  <c r="AX18" i="20"/>
  <c r="AV18" i="20"/>
  <c r="AT18" i="20"/>
  <c r="AR18" i="20"/>
  <c r="AP18" i="20"/>
  <c r="AN18" i="20"/>
  <c r="AL18" i="20"/>
  <c r="AJ18" i="20"/>
  <c r="AH18" i="20"/>
  <c r="AF18" i="20"/>
  <c r="AD18" i="20"/>
  <c r="AB18" i="20"/>
  <c r="Z18" i="20"/>
  <c r="X18" i="20"/>
  <c r="V18" i="20"/>
  <c r="T18" i="20"/>
  <c r="R18" i="20"/>
  <c r="P18" i="20"/>
  <c r="N18" i="20"/>
  <c r="L18" i="20"/>
  <c r="J18" i="20"/>
  <c r="H18" i="20"/>
  <c r="FU17" i="20"/>
  <c r="FR17" i="20"/>
  <c r="FH17" i="20"/>
  <c r="FF17" i="20"/>
  <c r="FD17" i="20"/>
  <c r="FB17" i="20"/>
  <c r="EZ17" i="20"/>
  <c r="EX17" i="20"/>
  <c r="EV17" i="20"/>
  <c r="ET17" i="20"/>
  <c r="ER17" i="20"/>
  <c r="EP17" i="20"/>
  <c r="EN17" i="20"/>
  <c r="EL17" i="20"/>
  <c r="EJ17" i="20"/>
  <c r="EH17" i="20"/>
  <c r="EF17" i="20"/>
  <c r="ED17" i="20"/>
  <c r="EB17" i="20"/>
  <c r="DZ17" i="20"/>
  <c r="DX17" i="20"/>
  <c r="DV17" i="20"/>
  <c r="DT17" i="20"/>
  <c r="DR17" i="20"/>
  <c r="DP17" i="20"/>
  <c r="DN17" i="20"/>
  <c r="DE17" i="20"/>
  <c r="DC17" i="20"/>
  <c r="DA17" i="20"/>
  <c r="CY17" i="20"/>
  <c r="CW17" i="20"/>
  <c r="CU17" i="20"/>
  <c r="CS17" i="20"/>
  <c r="CQ17" i="20"/>
  <c r="CO17" i="20"/>
  <c r="CM17" i="20"/>
  <c r="CK17" i="20"/>
  <c r="CI17" i="20"/>
  <c r="CG17" i="20"/>
  <c r="CE17" i="20"/>
  <c r="CC17" i="20"/>
  <c r="CA17" i="20"/>
  <c r="BY17" i="20"/>
  <c r="BW17" i="20"/>
  <c r="BU17" i="20"/>
  <c r="BS17" i="20"/>
  <c r="BQ17" i="20"/>
  <c r="BO17" i="20"/>
  <c r="BM17" i="20"/>
  <c r="BK17" i="20"/>
  <c r="BB17" i="20"/>
  <c r="AZ17" i="20"/>
  <c r="AX17" i="20"/>
  <c r="AV17" i="20"/>
  <c r="AT17" i="20"/>
  <c r="AR17" i="20"/>
  <c r="AP17" i="20"/>
  <c r="AN17" i="20"/>
  <c r="AL17" i="20"/>
  <c r="AJ17" i="20"/>
  <c r="AH17" i="20"/>
  <c r="AF17" i="20"/>
  <c r="AD17" i="20"/>
  <c r="AB17" i="20"/>
  <c r="Z17" i="20"/>
  <c r="X17" i="20"/>
  <c r="V17" i="20"/>
  <c r="T17" i="20"/>
  <c r="R17" i="20"/>
  <c r="P17" i="20"/>
  <c r="N17" i="20"/>
  <c r="L17" i="20"/>
  <c r="J17" i="20"/>
  <c r="H17" i="20"/>
  <c r="FH10" i="20"/>
  <c r="FF10" i="20"/>
  <c r="FD10" i="20"/>
  <c r="FB10" i="20"/>
  <c r="EZ10" i="20"/>
  <c r="EX10" i="20"/>
  <c r="EV10" i="20"/>
  <c r="ET10" i="20"/>
  <c r="ER10" i="20"/>
  <c r="EP10" i="20"/>
  <c r="EN10" i="20"/>
  <c r="EL10" i="20"/>
  <c r="EJ10" i="20"/>
  <c r="EH10" i="20"/>
  <c r="EF10" i="20"/>
  <c r="ED10" i="20"/>
  <c r="EB10" i="20"/>
  <c r="DZ10" i="20"/>
  <c r="DX10" i="20"/>
  <c r="DV10" i="20"/>
  <c r="DT10" i="20"/>
  <c r="DR10" i="20"/>
  <c r="DP10" i="20"/>
  <c r="DN10" i="20"/>
  <c r="DE10" i="20"/>
  <c r="DC10" i="20"/>
  <c r="DA10" i="20"/>
  <c r="CY10" i="20"/>
  <c r="CW10" i="20"/>
  <c r="CU10" i="20"/>
  <c r="CS10" i="20"/>
  <c r="CQ10" i="20"/>
  <c r="CO10" i="20"/>
  <c r="CM10" i="20"/>
  <c r="CK10" i="20"/>
  <c r="CI10" i="20"/>
  <c r="CG10" i="20"/>
  <c r="CE10" i="20"/>
  <c r="CC10" i="20"/>
  <c r="CA10" i="20"/>
  <c r="BY10" i="20"/>
  <c r="BW10" i="20"/>
  <c r="BU10" i="20"/>
  <c r="BS10" i="20"/>
  <c r="BQ10" i="20"/>
  <c r="BO10" i="20"/>
  <c r="BM10" i="20"/>
  <c r="BK10" i="20"/>
  <c r="BB10" i="20"/>
  <c r="AZ10" i="20"/>
  <c r="AX10" i="20"/>
  <c r="AV10" i="20"/>
  <c r="AT10" i="20"/>
  <c r="AR10" i="20"/>
  <c r="AP10" i="20"/>
  <c r="AN10" i="20"/>
  <c r="AL10" i="20"/>
  <c r="AJ10" i="20"/>
  <c r="AH10" i="20"/>
  <c r="AF10" i="20"/>
  <c r="AD10" i="20"/>
  <c r="AB10" i="20"/>
  <c r="Z10" i="20"/>
  <c r="X10" i="20"/>
  <c r="V10" i="20"/>
  <c r="T10" i="20"/>
  <c r="R10" i="20"/>
  <c r="P10" i="20"/>
  <c r="N10" i="20"/>
  <c r="L10" i="20"/>
  <c r="J10" i="20"/>
  <c r="H10" i="20"/>
  <c r="D10" i="20"/>
  <c r="FU16" i="20"/>
  <c r="FR16" i="20"/>
  <c r="FH16" i="20"/>
  <c r="FF16" i="20"/>
  <c r="FD16" i="20"/>
  <c r="FB16" i="20"/>
  <c r="EZ16" i="20"/>
  <c r="EX16" i="20"/>
  <c r="EV16" i="20"/>
  <c r="ET16" i="20"/>
  <c r="ER16" i="20"/>
  <c r="EP16" i="20"/>
  <c r="EN16" i="20"/>
  <c r="EL16" i="20"/>
  <c r="EJ16" i="20"/>
  <c r="EH16" i="20"/>
  <c r="EF16" i="20"/>
  <c r="ED16" i="20"/>
  <c r="EB16" i="20"/>
  <c r="DZ16" i="20"/>
  <c r="DX16" i="20"/>
  <c r="DV16" i="20"/>
  <c r="DT16" i="20"/>
  <c r="DR16" i="20"/>
  <c r="DP16" i="20"/>
  <c r="DN16" i="20"/>
  <c r="DE16" i="20"/>
  <c r="DC16" i="20"/>
  <c r="DA16" i="20"/>
  <c r="CY16" i="20"/>
  <c r="CW16" i="20"/>
  <c r="CU16" i="20"/>
  <c r="CS16" i="20"/>
  <c r="CQ16" i="20"/>
  <c r="CO16" i="20"/>
  <c r="CM16" i="20"/>
  <c r="CK16" i="20"/>
  <c r="CI16" i="20"/>
  <c r="CG16" i="20"/>
  <c r="CE16" i="20"/>
  <c r="CC16" i="20"/>
  <c r="CA16" i="20"/>
  <c r="BY16" i="20"/>
  <c r="BW16" i="20"/>
  <c r="BU16" i="20"/>
  <c r="BS16" i="20"/>
  <c r="BQ16" i="20"/>
  <c r="BO16" i="20"/>
  <c r="BM16" i="20"/>
  <c r="BK16" i="20"/>
  <c r="BB16" i="20"/>
  <c r="AZ16" i="20"/>
  <c r="AX16" i="20"/>
  <c r="AV16" i="20"/>
  <c r="AT16" i="20"/>
  <c r="AR16" i="20"/>
  <c r="AP16" i="20"/>
  <c r="AN16" i="20"/>
  <c r="AL16" i="20"/>
  <c r="AJ16" i="20"/>
  <c r="AH16" i="20"/>
  <c r="AF16" i="20"/>
  <c r="AD16" i="20"/>
  <c r="AB16" i="20"/>
  <c r="Z16" i="20"/>
  <c r="X16" i="20"/>
  <c r="V16" i="20"/>
  <c r="T16" i="20"/>
  <c r="R16" i="20"/>
  <c r="P16" i="20"/>
  <c r="N16" i="20"/>
  <c r="L16" i="20"/>
  <c r="J16" i="20"/>
  <c r="H16" i="20"/>
  <c r="DM68" i="20"/>
  <c r="BJ68" i="20"/>
  <c r="FU26" i="20"/>
  <c r="FR26" i="20"/>
  <c r="FH26" i="20"/>
  <c r="FF26" i="20"/>
  <c r="FD26" i="20"/>
  <c r="FB26" i="20"/>
  <c r="EZ26" i="20"/>
  <c r="EX26" i="20"/>
  <c r="EV26" i="20"/>
  <c r="ET26" i="20"/>
  <c r="ER26" i="20"/>
  <c r="EP26" i="20"/>
  <c r="EN26" i="20"/>
  <c r="EL26" i="20"/>
  <c r="EJ26" i="20"/>
  <c r="EH26" i="20"/>
  <c r="EF26" i="20"/>
  <c r="ED26" i="20"/>
  <c r="EB26" i="20"/>
  <c r="DZ26" i="20"/>
  <c r="DX26" i="20"/>
  <c r="DV26" i="20"/>
  <c r="DT26" i="20"/>
  <c r="DR26" i="20"/>
  <c r="DP26" i="20"/>
  <c r="DN26" i="20"/>
  <c r="DE26" i="20"/>
  <c r="DC26" i="20"/>
  <c r="DA26" i="20"/>
  <c r="CY26" i="20"/>
  <c r="CW26" i="20"/>
  <c r="CU26" i="20"/>
  <c r="CS26" i="20"/>
  <c r="CQ26" i="20"/>
  <c r="CO26" i="20"/>
  <c r="CM26" i="20"/>
  <c r="CK26" i="20"/>
  <c r="CI26" i="20"/>
  <c r="CG26" i="20"/>
  <c r="CE26" i="20"/>
  <c r="CC26" i="20"/>
  <c r="CA26" i="20"/>
  <c r="BY26" i="20"/>
  <c r="BW26" i="20"/>
  <c r="BU26" i="20"/>
  <c r="BS26" i="20"/>
  <c r="BQ26" i="20"/>
  <c r="BO26" i="20"/>
  <c r="BM26" i="20"/>
  <c r="BK26" i="20"/>
  <c r="BB26" i="20"/>
  <c r="AZ26" i="20"/>
  <c r="AX26" i="20"/>
  <c r="AV26" i="20"/>
  <c r="AT26" i="20"/>
  <c r="AR26" i="20"/>
  <c r="AP26" i="20"/>
  <c r="AN26" i="20"/>
  <c r="AL26" i="20"/>
  <c r="AJ26" i="20"/>
  <c r="AH26" i="20"/>
  <c r="AF26" i="20"/>
  <c r="AD26" i="20"/>
  <c r="AB26" i="20"/>
  <c r="Z26" i="20"/>
  <c r="X26" i="20"/>
  <c r="V26" i="20"/>
  <c r="T26" i="20"/>
  <c r="R26" i="20"/>
  <c r="P26" i="20"/>
  <c r="N26" i="20"/>
  <c r="L26" i="20"/>
  <c r="J26" i="20"/>
  <c r="H26" i="20"/>
  <c r="FU14" i="20"/>
  <c r="FR14" i="20"/>
  <c r="FH14" i="20"/>
  <c r="FF14" i="20"/>
  <c r="FD14" i="20"/>
  <c r="FB14" i="20"/>
  <c r="EZ14" i="20"/>
  <c r="EX14" i="20"/>
  <c r="EV14" i="20"/>
  <c r="ET14" i="20"/>
  <c r="ER14" i="20"/>
  <c r="EP14" i="20"/>
  <c r="EN14" i="20"/>
  <c r="EL14" i="20"/>
  <c r="EJ14" i="20"/>
  <c r="EH14" i="20"/>
  <c r="EF14" i="20"/>
  <c r="ED14" i="20"/>
  <c r="EB14" i="20"/>
  <c r="DZ14" i="20"/>
  <c r="DX14" i="20"/>
  <c r="DV14" i="20"/>
  <c r="DT14" i="20"/>
  <c r="DR14" i="20"/>
  <c r="DP14" i="20"/>
  <c r="DN14" i="20"/>
  <c r="DE14" i="20"/>
  <c r="DC14" i="20"/>
  <c r="DA14" i="20"/>
  <c r="CY14" i="20"/>
  <c r="CW14" i="20"/>
  <c r="CU14" i="20"/>
  <c r="CS14" i="20"/>
  <c r="CQ14" i="20"/>
  <c r="CO14" i="20"/>
  <c r="CM14" i="20"/>
  <c r="CK14" i="20"/>
  <c r="CI14" i="20"/>
  <c r="CG14" i="20"/>
  <c r="CE14" i="20"/>
  <c r="CC14" i="20"/>
  <c r="CA14" i="20"/>
  <c r="BY14" i="20"/>
  <c r="BW14" i="20"/>
  <c r="BU14" i="20"/>
  <c r="BS14" i="20"/>
  <c r="BQ14" i="20"/>
  <c r="BO14" i="20"/>
  <c r="BM14" i="20"/>
  <c r="BK14" i="20"/>
  <c r="BB14" i="20"/>
  <c r="AZ14" i="20"/>
  <c r="AX14" i="20"/>
  <c r="AV14" i="20"/>
  <c r="AT14" i="20"/>
  <c r="AR14" i="20"/>
  <c r="AP14" i="20"/>
  <c r="AN14" i="20"/>
  <c r="AL14" i="20"/>
  <c r="AJ14" i="20"/>
  <c r="AH14" i="20"/>
  <c r="AF14" i="20"/>
  <c r="AD14" i="20"/>
  <c r="AB14" i="20"/>
  <c r="Z14" i="20"/>
  <c r="X14" i="20"/>
  <c r="V14" i="20"/>
  <c r="T14" i="20"/>
  <c r="R14" i="20"/>
  <c r="P14" i="20"/>
  <c r="N14" i="20"/>
  <c r="L14" i="20"/>
  <c r="J14" i="20"/>
  <c r="H14" i="20"/>
  <c r="FE1" i="20"/>
  <c r="DB1" i="20"/>
  <c r="FU18" i="19"/>
  <c r="FR18" i="19"/>
  <c r="FH18" i="19"/>
  <c r="FF18" i="19"/>
  <c r="FD18" i="19"/>
  <c r="FB18" i="19"/>
  <c r="EZ18" i="19"/>
  <c r="EX18" i="19"/>
  <c r="EV18" i="19"/>
  <c r="ET18" i="19"/>
  <c r="ER18" i="19"/>
  <c r="EP18" i="19"/>
  <c r="EN18" i="19"/>
  <c r="EL18" i="19"/>
  <c r="EJ18" i="19"/>
  <c r="EH18" i="19"/>
  <c r="EF18" i="19"/>
  <c r="ED18" i="19"/>
  <c r="EB18" i="19"/>
  <c r="DZ18" i="19"/>
  <c r="DX18" i="19"/>
  <c r="DV18" i="19"/>
  <c r="DT18" i="19"/>
  <c r="DR18" i="19"/>
  <c r="DP18" i="19"/>
  <c r="DN18" i="19"/>
  <c r="DE18" i="19"/>
  <c r="DC18" i="19"/>
  <c r="DA18" i="19"/>
  <c r="CY18" i="19"/>
  <c r="CW18" i="19"/>
  <c r="CU18" i="19"/>
  <c r="CS18" i="19"/>
  <c r="CQ18" i="19"/>
  <c r="CO18" i="19"/>
  <c r="CM18" i="19"/>
  <c r="CK18" i="19"/>
  <c r="CI18" i="19"/>
  <c r="CG18" i="19"/>
  <c r="CE18" i="19"/>
  <c r="CC18" i="19"/>
  <c r="CA18" i="19"/>
  <c r="BY18" i="19"/>
  <c r="BW18" i="19"/>
  <c r="BU18" i="19"/>
  <c r="BS18" i="19"/>
  <c r="BQ18" i="19"/>
  <c r="BO18" i="19"/>
  <c r="BM18" i="19"/>
  <c r="BK18" i="19"/>
  <c r="BB18" i="19"/>
  <c r="AZ18" i="19"/>
  <c r="AX18" i="19"/>
  <c r="AV18" i="19"/>
  <c r="AT18" i="19"/>
  <c r="AR18" i="19"/>
  <c r="AP18" i="19"/>
  <c r="AN18" i="19"/>
  <c r="AL18" i="19"/>
  <c r="AJ18" i="19"/>
  <c r="AH18" i="19"/>
  <c r="AF18" i="19"/>
  <c r="AD18" i="19"/>
  <c r="AB18" i="19"/>
  <c r="Z18" i="19"/>
  <c r="X18" i="19"/>
  <c r="V18" i="19"/>
  <c r="T18" i="19"/>
  <c r="R18" i="19"/>
  <c r="P18" i="19"/>
  <c r="N18" i="19"/>
  <c r="L18" i="19"/>
  <c r="J18" i="19"/>
  <c r="H18" i="19"/>
  <c r="FU17" i="19"/>
  <c r="FR17" i="19"/>
  <c r="FH17" i="19"/>
  <c r="FF17" i="19"/>
  <c r="FD17" i="19"/>
  <c r="FB17" i="19"/>
  <c r="EZ17" i="19"/>
  <c r="EX17" i="19"/>
  <c r="EV17" i="19"/>
  <c r="ET17" i="19"/>
  <c r="ER17" i="19"/>
  <c r="EP17" i="19"/>
  <c r="EN17" i="19"/>
  <c r="EL17" i="19"/>
  <c r="EJ17" i="19"/>
  <c r="EH17" i="19"/>
  <c r="EF17" i="19"/>
  <c r="ED17" i="19"/>
  <c r="EB17" i="19"/>
  <c r="DZ17" i="19"/>
  <c r="DX17" i="19"/>
  <c r="DV17" i="19"/>
  <c r="DT17" i="19"/>
  <c r="DR17" i="19"/>
  <c r="DP17" i="19"/>
  <c r="DN17" i="19"/>
  <c r="DE17" i="19"/>
  <c r="DC17" i="19"/>
  <c r="DA17" i="19"/>
  <c r="CY17" i="19"/>
  <c r="CW17" i="19"/>
  <c r="CU17" i="19"/>
  <c r="CS17" i="19"/>
  <c r="CQ17" i="19"/>
  <c r="CO17" i="19"/>
  <c r="CM17" i="19"/>
  <c r="CK17" i="19"/>
  <c r="CI17" i="19"/>
  <c r="CG17" i="19"/>
  <c r="CE17" i="19"/>
  <c r="CC17" i="19"/>
  <c r="CA17" i="19"/>
  <c r="BY17" i="19"/>
  <c r="BW17" i="19"/>
  <c r="BU17" i="19"/>
  <c r="BS17" i="19"/>
  <c r="BQ17" i="19"/>
  <c r="BO17" i="19"/>
  <c r="BM17" i="19"/>
  <c r="BK17" i="19"/>
  <c r="BB17" i="19"/>
  <c r="AZ17" i="19"/>
  <c r="AX17" i="19"/>
  <c r="AV17" i="19"/>
  <c r="AT17" i="19"/>
  <c r="AR17" i="19"/>
  <c r="AP17" i="19"/>
  <c r="AN17" i="19"/>
  <c r="AL17" i="19"/>
  <c r="AJ17" i="19"/>
  <c r="AH17" i="19"/>
  <c r="AF17" i="19"/>
  <c r="AD17" i="19"/>
  <c r="AB17" i="19"/>
  <c r="Z17" i="19"/>
  <c r="X17" i="19"/>
  <c r="V17" i="19"/>
  <c r="T17" i="19"/>
  <c r="R17" i="19"/>
  <c r="P17" i="19"/>
  <c r="N17" i="19"/>
  <c r="L17" i="19"/>
  <c r="J17" i="19"/>
  <c r="H17" i="19"/>
  <c r="FH10" i="19"/>
  <c r="FF10" i="19"/>
  <c r="FD10" i="19"/>
  <c r="FB10" i="19"/>
  <c r="EZ10" i="19"/>
  <c r="EX10" i="19"/>
  <c r="EV10" i="19"/>
  <c r="ET10" i="19"/>
  <c r="ER10" i="19"/>
  <c r="EP10" i="19"/>
  <c r="EN10" i="19"/>
  <c r="EL10" i="19"/>
  <c r="EJ10" i="19"/>
  <c r="EH10" i="19"/>
  <c r="EF10" i="19"/>
  <c r="ED10" i="19"/>
  <c r="EB10" i="19"/>
  <c r="DZ10" i="19"/>
  <c r="DX10" i="19"/>
  <c r="DV10" i="19"/>
  <c r="DT10" i="19"/>
  <c r="DR10" i="19"/>
  <c r="DP10" i="19"/>
  <c r="DN10" i="19"/>
  <c r="DE10" i="19"/>
  <c r="DC10" i="19"/>
  <c r="DA10" i="19"/>
  <c r="CY10" i="19"/>
  <c r="CW10" i="19"/>
  <c r="CU10" i="19"/>
  <c r="CS10" i="19"/>
  <c r="CQ10" i="19"/>
  <c r="CO10" i="19"/>
  <c r="CM10" i="19"/>
  <c r="CK10" i="19"/>
  <c r="CI10" i="19"/>
  <c r="CG10" i="19"/>
  <c r="CE10" i="19"/>
  <c r="CC10" i="19"/>
  <c r="CA10" i="19"/>
  <c r="BY10" i="19"/>
  <c r="BW10" i="19"/>
  <c r="BU10" i="19"/>
  <c r="BS10" i="19"/>
  <c r="BQ10" i="19"/>
  <c r="BO10" i="19"/>
  <c r="BM10" i="19"/>
  <c r="BK10" i="19"/>
  <c r="BB10" i="19"/>
  <c r="AZ10" i="19"/>
  <c r="AX10" i="19"/>
  <c r="AV10" i="19"/>
  <c r="AT10" i="19"/>
  <c r="AR10" i="19"/>
  <c r="AP10" i="19"/>
  <c r="AN10" i="19"/>
  <c r="AL10" i="19"/>
  <c r="AJ10" i="19"/>
  <c r="AH10" i="19"/>
  <c r="AF10" i="19"/>
  <c r="AD10" i="19"/>
  <c r="AB10" i="19"/>
  <c r="Z10" i="19"/>
  <c r="X10" i="19"/>
  <c r="V10" i="19"/>
  <c r="T10" i="19"/>
  <c r="R10" i="19"/>
  <c r="P10" i="19"/>
  <c r="N10" i="19"/>
  <c r="L10" i="19"/>
  <c r="J10" i="19"/>
  <c r="H10" i="19"/>
  <c r="D10" i="19"/>
  <c r="FU16" i="19"/>
  <c r="FR16" i="19"/>
  <c r="FH16" i="19"/>
  <c r="FF16" i="19"/>
  <c r="FD16" i="19"/>
  <c r="FB16" i="19"/>
  <c r="EZ16" i="19"/>
  <c r="EX16" i="19"/>
  <c r="EV16" i="19"/>
  <c r="ET16" i="19"/>
  <c r="ER16" i="19"/>
  <c r="EP16" i="19"/>
  <c r="EN16" i="19"/>
  <c r="EL16" i="19"/>
  <c r="EJ16" i="19"/>
  <c r="EH16" i="19"/>
  <c r="EF16" i="19"/>
  <c r="ED16" i="19"/>
  <c r="EB16" i="19"/>
  <c r="DZ16" i="19"/>
  <c r="DX16" i="19"/>
  <c r="DV16" i="19"/>
  <c r="DT16" i="19"/>
  <c r="DR16" i="19"/>
  <c r="DP16" i="19"/>
  <c r="DN16" i="19"/>
  <c r="DE16" i="19"/>
  <c r="DC16" i="19"/>
  <c r="DA16" i="19"/>
  <c r="CY16" i="19"/>
  <c r="CW16" i="19"/>
  <c r="CU16" i="19"/>
  <c r="CS16" i="19"/>
  <c r="CQ16" i="19"/>
  <c r="CO16" i="19"/>
  <c r="CM16" i="19"/>
  <c r="CK16" i="19"/>
  <c r="CI16" i="19"/>
  <c r="CG16" i="19"/>
  <c r="CE16" i="19"/>
  <c r="CC16" i="19"/>
  <c r="CA16" i="19"/>
  <c r="BY16" i="19"/>
  <c r="BW16" i="19"/>
  <c r="BU16" i="19"/>
  <c r="BS16" i="19"/>
  <c r="BQ16" i="19"/>
  <c r="BO16" i="19"/>
  <c r="BM16" i="19"/>
  <c r="BK16" i="19"/>
  <c r="BB16" i="19"/>
  <c r="AZ16" i="19"/>
  <c r="AX16" i="19"/>
  <c r="AV16" i="19"/>
  <c r="AT16" i="19"/>
  <c r="AR16" i="19"/>
  <c r="AP16" i="19"/>
  <c r="AN16" i="19"/>
  <c r="AL16" i="19"/>
  <c r="AJ16" i="19"/>
  <c r="AH16" i="19"/>
  <c r="AF16" i="19"/>
  <c r="AD16" i="19"/>
  <c r="AB16" i="19"/>
  <c r="Z16" i="19"/>
  <c r="X16" i="19"/>
  <c r="V16" i="19"/>
  <c r="T16" i="19"/>
  <c r="R16" i="19"/>
  <c r="P16" i="19"/>
  <c r="N16" i="19"/>
  <c r="L16" i="19"/>
  <c r="J16" i="19"/>
  <c r="H16" i="19"/>
  <c r="DM68" i="19"/>
  <c r="BJ68" i="19"/>
  <c r="FU26" i="19"/>
  <c r="FR26" i="19"/>
  <c r="FH26" i="19"/>
  <c r="FF26" i="19"/>
  <c r="FD26" i="19"/>
  <c r="FB26" i="19"/>
  <c r="EZ26" i="19"/>
  <c r="EX26" i="19"/>
  <c r="EV26" i="19"/>
  <c r="ET26" i="19"/>
  <c r="ER26" i="19"/>
  <c r="EP26" i="19"/>
  <c r="EN26" i="19"/>
  <c r="EL26" i="19"/>
  <c r="EJ26" i="19"/>
  <c r="EH26" i="19"/>
  <c r="EF26" i="19"/>
  <c r="ED26" i="19"/>
  <c r="EB26" i="19"/>
  <c r="DZ26" i="19"/>
  <c r="DX26" i="19"/>
  <c r="DV26" i="19"/>
  <c r="DT26" i="19"/>
  <c r="DR26" i="19"/>
  <c r="DP26" i="19"/>
  <c r="DN26" i="19"/>
  <c r="DE26" i="19"/>
  <c r="DC26" i="19"/>
  <c r="DA26" i="19"/>
  <c r="CY26" i="19"/>
  <c r="CW26" i="19"/>
  <c r="CU26" i="19"/>
  <c r="CS26" i="19"/>
  <c r="CQ26" i="19"/>
  <c r="CO26" i="19"/>
  <c r="CM26" i="19"/>
  <c r="CK26" i="19"/>
  <c r="CI26" i="19"/>
  <c r="CG26" i="19"/>
  <c r="CE26" i="19"/>
  <c r="CC26" i="19"/>
  <c r="CA26" i="19"/>
  <c r="BY26" i="19"/>
  <c r="BW26" i="19"/>
  <c r="BU26" i="19"/>
  <c r="BS26" i="19"/>
  <c r="BQ26" i="19"/>
  <c r="BO26" i="19"/>
  <c r="BM26" i="19"/>
  <c r="BK26" i="19"/>
  <c r="BB26" i="19"/>
  <c r="AZ26" i="19"/>
  <c r="AX26" i="19"/>
  <c r="AV26" i="19"/>
  <c r="AT26" i="19"/>
  <c r="AR26" i="19"/>
  <c r="AP26" i="19"/>
  <c r="AN26" i="19"/>
  <c r="AL26" i="19"/>
  <c r="AJ26" i="19"/>
  <c r="AH26" i="19"/>
  <c r="AF26" i="19"/>
  <c r="AD26" i="19"/>
  <c r="AB26" i="19"/>
  <c r="Z26" i="19"/>
  <c r="X26" i="19"/>
  <c r="V26" i="19"/>
  <c r="T26" i="19"/>
  <c r="R26" i="19"/>
  <c r="P26" i="19"/>
  <c r="N26" i="19"/>
  <c r="L26" i="19"/>
  <c r="J26" i="19"/>
  <c r="H26" i="19"/>
  <c r="FU14" i="19"/>
  <c r="FR14" i="19"/>
  <c r="FH14" i="19"/>
  <c r="FF14" i="19"/>
  <c r="FD14" i="19"/>
  <c r="FB14" i="19"/>
  <c r="EZ14" i="19"/>
  <c r="EX14" i="19"/>
  <c r="EV14" i="19"/>
  <c r="ET14" i="19"/>
  <c r="ER14" i="19"/>
  <c r="EP14" i="19"/>
  <c r="EN14" i="19"/>
  <c r="EL14" i="19"/>
  <c r="EJ14" i="19"/>
  <c r="EH14" i="19"/>
  <c r="EF14" i="19"/>
  <c r="ED14" i="19"/>
  <c r="EB14" i="19"/>
  <c r="DZ14" i="19"/>
  <c r="DX14" i="19"/>
  <c r="DV14" i="19"/>
  <c r="DT14" i="19"/>
  <c r="DR14" i="19"/>
  <c r="DP14" i="19"/>
  <c r="DN14" i="19"/>
  <c r="DE14" i="19"/>
  <c r="DC14" i="19"/>
  <c r="DA14" i="19"/>
  <c r="CY14" i="19"/>
  <c r="CW14" i="19"/>
  <c r="CU14" i="19"/>
  <c r="CS14" i="19"/>
  <c r="CQ14" i="19"/>
  <c r="CO14" i="19"/>
  <c r="CM14" i="19"/>
  <c r="CK14" i="19"/>
  <c r="CI14" i="19"/>
  <c r="CG14" i="19"/>
  <c r="CE14" i="19"/>
  <c r="CC14" i="19"/>
  <c r="CA14" i="19"/>
  <c r="BY14" i="19"/>
  <c r="BW14" i="19"/>
  <c r="BU14" i="19"/>
  <c r="BS14" i="19"/>
  <c r="BQ14" i="19"/>
  <c r="BO14" i="19"/>
  <c r="BM14" i="19"/>
  <c r="BK14" i="19"/>
  <c r="BB14" i="19"/>
  <c r="AZ14" i="19"/>
  <c r="AX14" i="19"/>
  <c r="AV14" i="19"/>
  <c r="AT14" i="19"/>
  <c r="AR14" i="19"/>
  <c r="AP14" i="19"/>
  <c r="AN14" i="19"/>
  <c r="AL14" i="19"/>
  <c r="AJ14" i="19"/>
  <c r="AH14" i="19"/>
  <c r="AF14" i="19"/>
  <c r="AD14" i="19"/>
  <c r="AB14" i="19"/>
  <c r="Z14" i="19"/>
  <c r="X14" i="19"/>
  <c r="V14" i="19"/>
  <c r="T14" i="19"/>
  <c r="R14" i="19"/>
  <c r="P14" i="19"/>
  <c r="N14" i="19"/>
  <c r="L14" i="19"/>
  <c r="J14" i="19"/>
  <c r="H14" i="19"/>
  <c r="FE1" i="19"/>
  <c r="DB1" i="19"/>
  <c r="FU18" i="18"/>
  <c r="FR18" i="18"/>
  <c r="FH18" i="18"/>
  <c r="FF18" i="18"/>
  <c r="FD18" i="18"/>
  <c r="FB18" i="18"/>
  <c r="EZ18" i="18"/>
  <c r="EX18" i="18"/>
  <c r="EV18" i="18"/>
  <c r="ET18" i="18"/>
  <c r="ER18" i="18"/>
  <c r="EP18" i="18"/>
  <c r="EN18" i="18"/>
  <c r="EL18" i="18"/>
  <c r="EJ18" i="18"/>
  <c r="EH18" i="18"/>
  <c r="EF18" i="18"/>
  <c r="ED18" i="18"/>
  <c r="EB18" i="18"/>
  <c r="DZ18" i="18"/>
  <c r="DX18" i="18"/>
  <c r="DV18" i="18"/>
  <c r="DT18" i="18"/>
  <c r="DR18" i="18"/>
  <c r="DP18" i="18"/>
  <c r="DN18" i="18"/>
  <c r="DE18" i="18"/>
  <c r="DC18" i="18"/>
  <c r="DA18" i="18"/>
  <c r="CY18" i="18"/>
  <c r="CW18" i="18"/>
  <c r="CU18" i="18"/>
  <c r="CS18" i="18"/>
  <c r="CQ18" i="18"/>
  <c r="CO18" i="18"/>
  <c r="CM18" i="18"/>
  <c r="CK18" i="18"/>
  <c r="CI18" i="18"/>
  <c r="CG18" i="18"/>
  <c r="CE18" i="18"/>
  <c r="CC18" i="18"/>
  <c r="CA18" i="18"/>
  <c r="BY18" i="18"/>
  <c r="BW18" i="18"/>
  <c r="BU18" i="18"/>
  <c r="BS18" i="18"/>
  <c r="BQ18" i="18"/>
  <c r="BO18" i="18"/>
  <c r="BM18" i="18"/>
  <c r="BK18" i="18"/>
  <c r="BB18" i="18"/>
  <c r="AZ18" i="18"/>
  <c r="AX18" i="18"/>
  <c r="AV18" i="18"/>
  <c r="AT18" i="18"/>
  <c r="AR18" i="18"/>
  <c r="AP18" i="18"/>
  <c r="AN18" i="18"/>
  <c r="AL18" i="18"/>
  <c r="AJ18" i="18"/>
  <c r="AH18" i="18"/>
  <c r="AF18" i="18"/>
  <c r="AD18" i="18"/>
  <c r="AB18" i="18"/>
  <c r="Z18" i="18"/>
  <c r="X18" i="18"/>
  <c r="V18" i="18"/>
  <c r="T18" i="18"/>
  <c r="R18" i="18"/>
  <c r="P18" i="18"/>
  <c r="N18" i="18"/>
  <c r="L18" i="18"/>
  <c r="J18" i="18"/>
  <c r="H18" i="18"/>
  <c r="FU17" i="18"/>
  <c r="FR17" i="18"/>
  <c r="FH17" i="18"/>
  <c r="FF17" i="18"/>
  <c r="FD17" i="18"/>
  <c r="FB17" i="18"/>
  <c r="EZ17" i="18"/>
  <c r="EX17" i="18"/>
  <c r="EV17" i="18"/>
  <c r="ET17" i="18"/>
  <c r="ER17" i="18"/>
  <c r="EP17" i="18"/>
  <c r="EN17" i="18"/>
  <c r="EL17" i="18"/>
  <c r="EJ17" i="18"/>
  <c r="EH17" i="18"/>
  <c r="EF17" i="18"/>
  <c r="ED17" i="18"/>
  <c r="EB17" i="18"/>
  <c r="DZ17" i="18"/>
  <c r="DX17" i="18"/>
  <c r="DV17" i="18"/>
  <c r="DT17" i="18"/>
  <c r="DR17" i="18"/>
  <c r="DP17" i="18"/>
  <c r="DN17" i="18"/>
  <c r="DE17" i="18"/>
  <c r="DC17" i="18"/>
  <c r="DA17" i="18"/>
  <c r="CY17" i="18"/>
  <c r="CW17" i="18"/>
  <c r="CU17" i="18"/>
  <c r="CS17" i="18"/>
  <c r="CQ17" i="18"/>
  <c r="CO17" i="18"/>
  <c r="CM17" i="18"/>
  <c r="CK17" i="18"/>
  <c r="CI17" i="18"/>
  <c r="CG17" i="18"/>
  <c r="CE17" i="18"/>
  <c r="CC17" i="18"/>
  <c r="CA17" i="18"/>
  <c r="BY17" i="18"/>
  <c r="BW17" i="18"/>
  <c r="BU17" i="18"/>
  <c r="BS17" i="18"/>
  <c r="BQ17" i="18"/>
  <c r="BO17" i="18"/>
  <c r="BM17" i="18"/>
  <c r="BK17" i="18"/>
  <c r="BB17" i="18"/>
  <c r="AZ17" i="18"/>
  <c r="AX17" i="18"/>
  <c r="AV17" i="18"/>
  <c r="AT17" i="18"/>
  <c r="AR17" i="18"/>
  <c r="AP17" i="18"/>
  <c r="AN17" i="18"/>
  <c r="AL17" i="18"/>
  <c r="AJ17" i="18"/>
  <c r="AH17" i="18"/>
  <c r="AF17" i="18"/>
  <c r="AD17" i="18"/>
  <c r="AB17" i="18"/>
  <c r="Z17" i="18"/>
  <c r="X17" i="18"/>
  <c r="V17" i="18"/>
  <c r="T17" i="18"/>
  <c r="R17" i="18"/>
  <c r="P17" i="18"/>
  <c r="N17" i="18"/>
  <c r="L17" i="18"/>
  <c r="J17" i="18"/>
  <c r="H17" i="18"/>
  <c r="FH10" i="18"/>
  <c r="FF10" i="18"/>
  <c r="FD10" i="18"/>
  <c r="FB10" i="18"/>
  <c r="EZ10" i="18"/>
  <c r="EX10" i="18"/>
  <c r="EV10" i="18"/>
  <c r="ET10" i="18"/>
  <c r="ER10" i="18"/>
  <c r="EP10" i="18"/>
  <c r="EN10" i="18"/>
  <c r="EL10" i="18"/>
  <c r="EJ10" i="18"/>
  <c r="EH10" i="18"/>
  <c r="EF10" i="18"/>
  <c r="ED10" i="18"/>
  <c r="EB10" i="18"/>
  <c r="DZ10" i="18"/>
  <c r="DX10" i="18"/>
  <c r="DV10" i="18"/>
  <c r="DT10" i="18"/>
  <c r="DR10" i="18"/>
  <c r="DP10" i="18"/>
  <c r="DN10" i="18"/>
  <c r="DE10" i="18"/>
  <c r="DC10" i="18"/>
  <c r="DA10" i="18"/>
  <c r="CY10" i="18"/>
  <c r="CW10" i="18"/>
  <c r="CU10" i="18"/>
  <c r="CS10" i="18"/>
  <c r="CQ10" i="18"/>
  <c r="CO10" i="18"/>
  <c r="CM10" i="18"/>
  <c r="CK10" i="18"/>
  <c r="CI10" i="18"/>
  <c r="CG10" i="18"/>
  <c r="CE10" i="18"/>
  <c r="CC10" i="18"/>
  <c r="CA10" i="18"/>
  <c r="BY10" i="18"/>
  <c r="BW10" i="18"/>
  <c r="BU10" i="18"/>
  <c r="BS10" i="18"/>
  <c r="BQ10" i="18"/>
  <c r="BO10" i="18"/>
  <c r="BM10" i="18"/>
  <c r="BK10" i="18"/>
  <c r="BB10" i="18"/>
  <c r="AZ10" i="18"/>
  <c r="AX10" i="18"/>
  <c r="AV10" i="18"/>
  <c r="AT10" i="18"/>
  <c r="AR10" i="18"/>
  <c r="AP10" i="18"/>
  <c r="AN10" i="18"/>
  <c r="AL10" i="18"/>
  <c r="AJ10" i="18"/>
  <c r="AH10" i="18"/>
  <c r="AF10" i="18"/>
  <c r="AD10" i="18"/>
  <c r="AB10" i="18"/>
  <c r="Z10" i="18"/>
  <c r="X10" i="18"/>
  <c r="V10" i="18"/>
  <c r="T10" i="18"/>
  <c r="R10" i="18"/>
  <c r="P10" i="18"/>
  <c r="N10" i="18"/>
  <c r="L10" i="18"/>
  <c r="J10" i="18"/>
  <c r="H10" i="18"/>
  <c r="D10" i="18"/>
  <c r="FU16" i="18"/>
  <c r="FR16" i="18"/>
  <c r="FH16" i="18"/>
  <c r="FF16" i="18"/>
  <c r="FD16" i="18"/>
  <c r="FB16" i="18"/>
  <c r="EZ16" i="18"/>
  <c r="EX16" i="18"/>
  <c r="EV16" i="18"/>
  <c r="ET16" i="18"/>
  <c r="ER16" i="18"/>
  <c r="EP16" i="18"/>
  <c r="EN16" i="18"/>
  <c r="EL16" i="18"/>
  <c r="EJ16" i="18"/>
  <c r="EH16" i="18"/>
  <c r="EF16" i="18"/>
  <c r="ED16" i="18"/>
  <c r="EB16" i="18"/>
  <c r="DZ16" i="18"/>
  <c r="DX16" i="18"/>
  <c r="DV16" i="18"/>
  <c r="DT16" i="18"/>
  <c r="DR16" i="18"/>
  <c r="DP16" i="18"/>
  <c r="DN16" i="18"/>
  <c r="DE16" i="18"/>
  <c r="DC16" i="18"/>
  <c r="DA16" i="18"/>
  <c r="CY16" i="18"/>
  <c r="CW16" i="18"/>
  <c r="CU16" i="18"/>
  <c r="CS16" i="18"/>
  <c r="CQ16" i="18"/>
  <c r="CO16" i="18"/>
  <c r="CM16" i="18"/>
  <c r="CK16" i="18"/>
  <c r="CI16" i="18"/>
  <c r="CG16" i="18"/>
  <c r="CE16" i="18"/>
  <c r="CC16" i="18"/>
  <c r="CA16" i="18"/>
  <c r="BY16" i="18"/>
  <c r="BW16" i="18"/>
  <c r="BU16" i="18"/>
  <c r="BS16" i="18"/>
  <c r="BQ16" i="18"/>
  <c r="BO16" i="18"/>
  <c r="BM16" i="18"/>
  <c r="BK16" i="18"/>
  <c r="BB16" i="18"/>
  <c r="AZ16" i="18"/>
  <c r="AX16" i="18"/>
  <c r="AV16" i="18"/>
  <c r="AT16" i="18"/>
  <c r="AR16" i="18"/>
  <c r="AP16" i="18"/>
  <c r="AN16" i="18"/>
  <c r="AL16" i="18"/>
  <c r="AJ16" i="18"/>
  <c r="AH16" i="18"/>
  <c r="AF16" i="18"/>
  <c r="AD16" i="18"/>
  <c r="AB16" i="18"/>
  <c r="Z16" i="18"/>
  <c r="X16" i="18"/>
  <c r="V16" i="18"/>
  <c r="T16" i="18"/>
  <c r="R16" i="18"/>
  <c r="P16" i="18"/>
  <c r="N16" i="18"/>
  <c r="L16" i="18"/>
  <c r="J16" i="18"/>
  <c r="H16" i="18"/>
  <c r="DM68" i="18"/>
  <c r="BJ68" i="18"/>
  <c r="FU26" i="18"/>
  <c r="FR26" i="18"/>
  <c r="FH26" i="18"/>
  <c r="FF26" i="18"/>
  <c r="FD26" i="18"/>
  <c r="FB26" i="18"/>
  <c r="EZ26" i="18"/>
  <c r="EX26" i="18"/>
  <c r="EV26" i="18"/>
  <c r="ET26" i="18"/>
  <c r="ER26" i="18"/>
  <c r="EP26" i="18"/>
  <c r="EN26" i="18"/>
  <c r="EL26" i="18"/>
  <c r="EJ26" i="18"/>
  <c r="EH26" i="18"/>
  <c r="EF26" i="18"/>
  <c r="ED26" i="18"/>
  <c r="EB26" i="18"/>
  <c r="DZ26" i="18"/>
  <c r="DX26" i="18"/>
  <c r="DV26" i="18"/>
  <c r="DT26" i="18"/>
  <c r="DR26" i="18"/>
  <c r="DP26" i="18"/>
  <c r="DN26" i="18"/>
  <c r="DE26" i="18"/>
  <c r="DC26" i="18"/>
  <c r="DA26" i="18"/>
  <c r="CY26" i="18"/>
  <c r="CW26" i="18"/>
  <c r="CU26" i="18"/>
  <c r="CS26" i="18"/>
  <c r="CQ26" i="18"/>
  <c r="CO26" i="18"/>
  <c r="CM26" i="18"/>
  <c r="CK26" i="18"/>
  <c r="CI26" i="18"/>
  <c r="CG26" i="18"/>
  <c r="CE26" i="18"/>
  <c r="CC26" i="18"/>
  <c r="CA26" i="18"/>
  <c r="BY26" i="18"/>
  <c r="BW26" i="18"/>
  <c r="BU26" i="18"/>
  <c r="BS26" i="18"/>
  <c r="BQ26" i="18"/>
  <c r="BO26" i="18"/>
  <c r="BM26" i="18"/>
  <c r="BK26" i="18"/>
  <c r="BB26" i="18"/>
  <c r="AZ26" i="18"/>
  <c r="AX26" i="18"/>
  <c r="AV26" i="18"/>
  <c r="AT26" i="18"/>
  <c r="AR26" i="18"/>
  <c r="AP26" i="18"/>
  <c r="AN26" i="18"/>
  <c r="AL26" i="18"/>
  <c r="AJ26" i="18"/>
  <c r="AH26" i="18"/>
  <c r="AF26" i="18"/>
  <c r="AD26" i="18"/>
  <c r="AB26" i="18"/>
  <c r="Z26" i="18"/>
  <c r="X26" i="18"/>
  <c r="V26" i="18"/>
  <c r="T26" i="18"/>
  <c r="R26" i="18"/>
  <c r="P26" i="18"/>
  <c r="N26" i="18"/>
  <c r="L26" i="18"/>
  <c r="J26" i="18"/>
  <c r="H26" i="18"/>
  <c r="FU14" i="18"/>
  <c r="FR14" i="18"/>
  <c r="FH14" i="18"/>
  <c r="FF14" i="18"/>
  <c r="FD14" i="18"/>
  <c r="FB14" i="18"/>
  <c r="EZ14" i="18"/>
  <c r="EX14" i="18"/>
  <c r="EV14" i="18"/>
  <c r="ET14" i="18"/>
  <c r="ER14" i="18"/>
  <c r="EP14" i="18"/>
  <c r="EN14" i="18"/>
  <c r="EL14" i="18"/>
  <c r="EJ14" i="18"/>
  <c r="EH14" i="18"/>
  <c r="EF14" i="18"/>
  <c r="ED14" i="18"/>
  <c r="EB14" i="18"/>
  <c r="DZ14" i="18"/>
  <c r="DX14" i="18"/>
  <c r="DV14" i="18"/>
  <c r="DT14" i="18"/>
  <c r="DR14" i="18"/>
  <c r="DP14" i="18"/>
  <c r="DN14" i="18"/>
  <c r="DE14" i="18"/>
  <c r="DC14" i="18"/>
  <c r="DA14" i="18"/>
  <c r="CY14" i="18"/>
  <c r="CW14" i="18"/>
  <c r="CU14" i="18"/>
  <c r="CS14" i="18"/>
  <c r="CQ14" i="18"/>
  <c r="CO14" i="18"/>
  <c r="CM14" i="18"/>
  <c r="CK14" i="18"/>
  <c r="CI14" i="18"/>
  <c r="CG14" i="18"/>
  <c r="CE14" i="18"/>
  <c r="CC14" i="18"/>
  <c r="CA14" i="18"/>
  <c r="BY14" i="18"/>
  <c r="BW14" i="18"/>
  <c r="BU14" i="18"/>
  <c r="BS14" i="18"/>
  <c r="BQ14" i="18"/>
  <c r="BO14" i="18"/>
  <c r="BM14" i="18"/>
  <c r="BK14" i="18"/>
  <c r="BB14" i="18"/>
  <c r="AZ14" i="18"/>
  <c r="AX14" i="18"/>
  <c r="AV14" i="18"/>
  <c r="AT14" i="18"/>
  <c r="AR14" i="18"/>
  <c r="AP14" i="18"/>
  <c r="AN14" i="18"/>
  <c r="AL14" i="18"/>
  <c r="AJ14" i="18"/>
  <c r="AH14" i="18"/>
  <c r="AF14" i="18"/>
  <c r="AD14" i="18"/>
  <c r="AB14" i="18"/>
  <c r="Z14" i="18"/>
  <c r="X14" i="18"/>
  <c r="V14" i="18"/>
  <c r="T14" i="18"/>
  <c r="R14" i="18"/>
  <c r="P14" i="18"/>
  <c r="N14" i="18"/>
  <c r="L14" i="18"/>
  <c r="J14" i="18"/>
  <c r="H14" i="18"/>
  <c r="FE1" i="18"/>
  <c r="DB1" i="18"/>
  <c r="FU18" i="17"/>
  <c r="FR18" i="17"/>
  <c r="FH18" i="17"/>
  <c r="FF18" i="17"/>
  <c r="FD18" i="17"/>
  <c r="FB18" i="17"/>
  <c r="EZ18" i="17"/>
  <c r="EX18" i="17"/>
  <c r="EV18" i="17"/>
  <c r="ET18" i="17"/>
  <c r="ER18" i="17"/>
  <c r="EP18" i="17"/>
  <c r="EN18" i="17"/>
  <c r="EL18" i="17"/>
  <c r="EJ18" i="17"/>
  <c r="EH18" i="17"/>
  <c r="EF18" i="17"/>
  <c r="ED18" i="17"/>
  <c r="EB18" i="17"/>
  <c r="DZ18" i="17"/>
  <c r="DX18" i="17"/>
  <c r="DV18" i="17"/>
  <c r="DT18" i="17"/>
  <c r="DR18" i="17"/>
  <c r="DP18" i="17"/>
  <c r="DN18" i="17"/>
  <c r="DE18" i="17"/>
  <c r="DC18" i="17"/>
  <c r="DA18" i="17"/>
  <c r="CY18" i="17"/>
  <c r="CW18" i="17"/>
  <c r="CU18" i="17"/>
  <c r="CS18" i="17"/>
  <c r="CQ18" i="17"/>
  <c r="CO18" i="17"/>
  <c r="CM18" i="17"/>
  <c r="CK18" i="17"/>
  <c r="CI18" i="17"/>
  <c r="CG18" i="17"/>
  <c r="CE18" i="17"/>
  <c r="CC18" i="17"/>
  <c r="CA18" i="17"/>
  <c r="BY18" i="17"/>
  <c r="BW18" i="17"/>
  <c r="BU18" i="17"/>
  <c r="BS18" i="17"/>
  <c r="BQ18" i="17"/>
  <c r="BO18" i="17"/>
  <c r="BM18" i="17"/>
  <c r="BK18" i="17"/>
  <c r="BB18" i="17"/>
  <c r="AZ18" i="17"/>
  <c r="AX18" i="17"/>
  <c r="AV18" i="17"/>
  <c r="AT18" i="17"/>
  <c r="AR18" i="17"/>
  <c r="AP18" i="17"/>
  <c r="AN18" i="17"/>
  <c r="AL18" i="17"/>
  <c r="AJ18" i="17"/>
  <c r="AH18" i="17"/>
  <c r="AF18" i="17"/>
  <c r="AD18" i="17"/>
  <c r="AB18" i="17"/>
  <c r="Z18" i="17"/>
  <c r="X18" i="17"/>
  <c r="V18" i="17"/>
  <c r="T18" i="17"/>
  <c r="R18" i="17"/>
  <c r="P18" i="17"/>
  <c r="N18" i="17"/>
  <c r="L18" i="17"/>
  <c r="J18" i="17"/>
  <c r="H18" i="17"/>
  <c r="FU17" i="17"/>
  <c r="FR17" i="17"/>
  <c r="FH17" i="17"/>
  <c r="FF17" i="17"/>
  <c r="FD17" i="17"/>
  <c r="FB17" i="17"/>
  <c r="EZ17" i="17"/>
  <c r="EX17" i="17"/>
  <c r="EV17" i="17"/>
  <c r="ET17" i="17"/>
  <c r="ER17" i="17"/>
  <c r="EP17" i="17"/>
  <c r="EN17" i="17"/>
  <c r="EL17" i="17"/>
  <c r="EJ17" i="17"/>
  <c r="EH17" i="17"/>
  <c r="EF17" i="17"/>
  <c r="ED17" i="17"/>
  <c r="EB17" i="17"/>
  <c r="DZ17" i="17"/>
  <c r="DX17" i="17"/>
  <c r="DV17" i="17"/>
  <c r="DT17" i="17"/>
  <c r="DR17" i="17"/>
  <c r="DP17" i="17"/>
  <c r="DN17" i="17"/>
  <c r="DE17" i="17"/>
  <c r="DC17" i="17"/>
  <c r="DA17" i="17"/>
  <c r="CY17" i="17"/>
  <c r="CW17" i="17"/>
  <c r="CU17" i="17"/>
  <c r="CS17" i="17"/>
  <c r="CQ17" i="17"/>
  <c r="CO17" i="17"/>
  <c r="CM17" i="17"/>
  <c r="CK17" i="17"/>
  <c r="CI17" i="17"/>
  <c r="CG17" i="17"/>
  <c r="CE17" i="17"/>
  <c r="CC17" i="17"/>
  <c r="CA17" i="17"/>
  <c r="BY17" i="17"/>
  <c r="BW17" i="17"/>
  <c r="BU17" i="17"/>
  <c r="BS17" i="17"/>
  <c r="BQ17" i="17"/>
  <c r="BO17" i="17"/>
  <c r="BM17" i="17"/>
  <c r="BK17" i="17"/>
  <c r="BB17" i="17"/>
  <c r="AZ17" i="17"/>
  <c r="AX17" i="17"/>
  <c r="AV17" i="17"/>
  <c r="AT17" i="17"/>
  <c r="AR17" i="17"/>
  <c r="AP17" i="17"/>
  <c r="AN17" i="17"/>
  <c r="AL17" i="17"/>
  <c r="AJ17" i="17"/>
  <c r="AH17" i="17"/>
  <c r="AF17" i="17"/>
  <c r="AD17" i="17"/>
  <c r="AB17" i="17"/>
  <c r="Z17" i="17"/>
  <c r="X17" i="17"/>
  <c r="V17" i="17"/>
  <c r="T17" i="17"/>
  <c r="R17" i="17"/>
  <c r="P17" i="17"/>
  <c r="N17" i="17"/>
  <c r="L17" i="17"/>
  <c r="J17" i="17"/>
  <c r="H17" i="17"/>
  <c r="FH10" i="17"/>
  <c r="FF10" i="17"/>
  <c r="FD10" i="17"/>
  <c r="FB10" i="17"/>
  <c r="EZ10" i="17"/>
  <c r="EX10" i="17"/>
  <c r="EV10" i="17"/>
  <c r="ET10" i="17"/>
  <c r="ER10" i="17"/>
  <c r="EP10" i="17"/>
  <c r="EN10" i="17"/>
  <c r="EL10" i="17"/>
  <c r="EJ10" i="17"/>
  <c r="EH10" i="17"/>
  <c r="EF10" i="17"/>
  <c r="ED10" i="17"/>
  <c r="EB10" i="17"/>
  <c r="DZ10" i="17"/>
  <c r="DX10" i="17"/>
  <c r="DV10" i="17"/>
  <c r="DT10" i="17"/>
  <c r="DR10" i="17"/>
  <c r="DP10" i="17"/>
  <c r="DN10" i="17"/>
  <c r="DE10" i="17"/>
  <c r="DC10" i="17"/>
  <c r="DA10" i="17"/>
  <c r="CY10" i="17"/>
  <c r="CW10" i="17"/>
  <c r="CU10" i="17"/>
  <c r="CS10" i="17"/>
  <c r="CQ10" i="17"/>
  <c r="CO10" i="17"/>
  <c r="CM10" i="17"/>
  <c r="CK10" i="17"/>
  <c r="CI10" i="17"/>
  <c r="CG10" i="17"/>
  <c r="CE10" i="17"/>
  <c r="CC10" i="17"/>
  <c r="CA10" i="17"/>
  <c r="BY10" i="17"/>
  <c r="BW10" i="17"/>
  <c r="BU10" i="17"/>
  <c r="BS10" i="17"/>
  <c r="BQ10" i="17"/>
  <c r="BO10" i="17"/>
  <c r="BM10" i="17"/>
  <c r="BK10" i="17"/>
  <c r="BB10" i="17"/>
  <c r="AZ10" i="17"/>
  <c r="AX10" i="17"/>
  <c r="AV10" i="17"/>
  <c r="AT10" i="17"/>
  <c r="AR10" i="17"/>
  <c r="AP10" i="17"/>
  <c r="AN10" i="17"/>
  <c r="AL10" i="17"/>
  <c r="AJ10" i="17"/>
  <c r="AH10" i="17"/>
  <c r="AF10" i="17"/>
  <c r="AD10" i="17"/>
  <c r="AB10" i="17"/>
  <c r="Z10" i="17"/>
  <c r="X10" i="17"/>
  <c r="V10" i="17"/>
  <c r="T10" i="17"/>
  <c r="R10" i="17"/>
  <c r="P10" i="17"/>
  <c r="N10" i="17"/>
  <c r="L10" i="17"/>
  <c r="J10" i="17"/>
  <c r="H10" i="17"/>
  <c r="D10" i="17"/>
  <c r="FU16" i="17"/>
  <c r="FR16" i="17"/>
  <c r="FH16" i="17"/>
  <c r="FF16" i="17"/>
  <c r="FD16" i="17"/>
  <c r="FB16" i="17"/>
  <c r="EZ16" i="17"/>
  <c r="EX16" i="17"/>
  <c r="EV16" i="17"/>
  <c r="ET16" i="17"/>
  <c r="ER16" i="17"/>
  <c r="EP16" i="17"/>
  <c r="EN16" i="17"/>
  <c r="EL16" i="17"/>
  <c r="EJ16" i="17"/>
  <c r="EH16" i="17"/>
  <c r="EF16" i="17"/>
  <c r="ED16" i="17"/>
  <c r="EB16" i="17"/>
  <c r="DZ16" i="17"/>
  <c r="DX16" i="17"/>
  <c r="DV16" i="17"/>
  <c r="DT16" i="17"/>
  <c r="DR16" i="17"/>
  <c r="DP16" i="17"/>
  <c r="DN16" i="17"/>
  <c r="DE16" i="17"/>
  <c r="DC16" i="17"/>
  <c r="DA16" i="17"/>
  <c r="CY16" i="17"/>
  <c r="CW16" i="17"/>
  <c r="CU16" i="17"/>
  <c r="CS16" i="17"/>
  <c r="CQ16" i="17"/>
  <c r="CO16" i="17"/>
  <c r="CM16" i="17"/>
  <c r="CK16" i="17"/>
  <c r="CI16" i="17"/>
  <c r="CG16" i="17"/>
  <c r="CE16" i="17"/>
  <c r="CC16" i="17"/>
  <c r="CA16" i="17"/>
  <c r="BY16" i="17"/>
  <c r="BW16" i="17"/>
  <c r="BU16" i="17"/>
  <c r="BS16" i="17"/>
  <c r="BQ16" i="17"/>
  <c r="BO16" i="17"/>
  <c r="BM16" i="17"/>
  <c r="BK16" i="17"/>
  <c r="BB16" i="17"/>
  <c r="AZ16" i="17"/>
  <c r="AX16" i="17"/>
  <c r="AV16" i="17"/>
  <c r="AT16" i="17"/>
  <c r="AR16" i="17"/>
  <c r="AP16" i="17"/>
  <c r="AN16" i="17"/>
  <c r="AL16" i="17"/>
  <c r="AJ16" i="17"/>
  <c r="AH16" i="17"/>
  <c r="AF16" i="17"/>
  <c r="AD16" i="17"/>
  <c r="AB16" i="17"/>
  <c r="Z16" i="17"/>
  <c r="X16" i="17"/>
  <c r="V16" i="17"/>
  <c r="T16" i="17"/>
  <c r="R16" i="17"/>
  <c r="P16" i="17"/>
  <c r="N16" i="17"/>
  <c r="L16" i="17"/>
  <c r="J16" i="17"/>
  <c r="H16" i="17"/>
  <c r="DM68" i="17"/>
  <c r="BJ68" i="17"/>
  <c r="FU26" i="17"/>
  <c r="FR26" i="17"/>
  <c r="FH26" i="17"/>
  <c r="FF26" i="17"/>
  <c r="FD26" i="17"/>
  <c r="FB26" i="17"/>
  <c r="EZ26" i="17"/>
  <c r="EX26" i="17"/>
  <c r="EV26" i="17"/>
  <c r="ET26" i="17"/>
  <c r="ER26" i="17"/>
  <c r="EP26" i="17"/>
  <c r="EN26" i="17"/>
  <c r="EL26" i="17"/>
  <c r="EJ26" i="17"/>
  <c r="EH26" i="17"/>
  <c r="EF26" i="17"/>
  <c r="ED26" i="17"/>
  <c r="EB26" i="17"/>
  <c r="DZ26" i="17"/>
  <c r="DX26" i="17"/>
  <c r="DV26" i="17"/>
  <c r="DT26" i="17"/>
  <c r="DR26" i="17"/>
  <c r="DP26" i="17"/>
  <c r="DN26" i="17"/>
  <c r="DE26" i="17"/>
  <c r="DC26" i="17"/>
  <c r="DA26" i="17"/>
  <c r="CY26" i="17"/>
  <c r="CW26" i="17"/>
  <c r="CU26" i="17"/>
  <c r="CS26" i="17"/>
  <c r="CQ26" i="17"/>
  <c r="CO26" i="17"/>
  <c r="CM26" i="17"/>
  <c r="CK26" i="17"/>
  <c r="CI26" i="17"/>
  <c r="CG26" i="17"/>
  <c r="CE26" i="17"/>
  <c r="CC26" i="17"/>
  <c r="CA26" i="17"/>
  <c r="BY26" i="17"/>
  <c r="BW26" i="17"/>
  <c r="BU26" i="17"/>
  <c r="BS26" i="17"/>
  <c r="BQ26" i="17"/>
  <c r="BO26" i="17"/>
  <c r="BM26" i="17"/>
  <c r="BK26" i="17"/>
  <c r="BB26" i="17"/>
  <c r="AZ26" i="17"/>
  <c r="AX26" i="17"/>
  <c r="AV26" i="17"/>
  <c r="AT26" i="17"/>
  <c r="AR26" i="17"/>
  <c r="AP26" i="17"/>
  <c r="AN26" i="17"/>
  <c r="AL26" i="17"/>
  <c r="AJ26" i="17"/>
  <c r="AH26" i="17"/>
  <c r="AF26" i="17"/>
  <c r="AD26" i="17"/>
  <c r="AB26" i="17"/>
  <c r="Z26" i="17"/>
  <c r="X26" i="17"/>
  <c r="V26" i="17"/>
  <c r="T26" i="17"/>
  <c r="R26" i="17"/>
  <c r="P26" i="17"/>
  <c r="N26" i="17"/>
  <c r="L26" i="17"/>
  <c r="J26" i="17"/>
  <c r="H26" i="17"/>
  <c r="FU14" i="17"/>
  <c r="FR14" i="17"/>
  <c r="FH14" i="17"/>
  <c r="FF14" i="17"/>
  <c r="FD14" i="17"/>
  <c r="FB14" i="17"/>
  <c r="EZ14" i="17"/>
  <c r="EX14" i="17"/>
  <c r="EV14" i="17"/>
  <c r="ET14" i="17"/>
  <c r="ER14" i="17"/>
  <c r="EP14" i="17"/>
  <c r="EN14" i="17"/>
  <c r="EL14" i="17"/>
  <c r="EJ14" i="17"/>
  <c r="EH14" i="17"/>
  <c r="EF14" i="17"/>
  <c r="ED14" i="17"/>
  <c r="EB14" i="17"/>
  <c r="DZ14" i="17"/>
  <c r="DX14" i="17"/>
  <c r="DV14" i="17"/>
  <c r="DT14" i="17"/>
  <c r="DR14" i="17"/>
  <c r="DP14" i="17"/>
  <c r="DN14" i="17"/>
  <c r="DE14" i="17"/>
  <c r="DC14" i="17"/>
  <c r="DA14" i="17"/>
  <c r="CY14" i="17"/>
  <c r="CW14" i="17"/>
  <c r="CU14" i="17"/>
  <c r="CS14" i="17"/>
  <c r="CQ14" i="17"/>
  <c r="CO14" i="17"/>
  <c r="CM14" i="17"/>
  <c r="CK14" i="17"/>
  <c r="CI14" i="17"/>
  <c r="CG14" i="17"/>
  <c r="CE14" i="17"/>
  <c r="CC14" i="17"/>
  <c r="CA14" i="17"/>
  <c r="BY14" i="17"/>
  <c r="BW14" i="17"/>
  <c r="BU14" i="17"/>
  <c r="BS14" i="17"/>
  <c r="BQ14" i="17"/>
  <c r="BO14" i="17"/>
  <c r="BM14" i="17"/>
  <c r="BK14" i="17"/>
  <c r="BB14" i="17"/>
  <c r="AZ14" i="17"/>
  <c r="AX14" i="17"/>
  <c r="AV14" i="17"/>
  <c r="AT14" i="17"/>
  <c r="AR14" i="17"/>
  <c r="AP14" i="17"/>
  <c r="AN14" i="17"/>
  <c r="AL14" i="17"/>
  <c r="AJ14" i="17"/>
  <c r="AH14" i="17"/>
  <c r="AF14" i="17"/>
  <c r="AD14" i="17"/>
  <c r="AB14" i="17"/>
  <c r="Z14" i="17"/>
  <c r="X14" i="17"/>
  <c r="V14" i="17"/>
  <c r="T14" i="17"/>
  <c r="R14" i="17"/>
  <c r="P14" i="17"/>
  <c r="N14" i="17"/>
  <c r="L14" i="17"/>
  <c r="J14" i="17"/>
  <c r="H14" i="17"/>
  <c r="FE1" i="17"/>
  <c r="DB1" i="17"/>
  <c r="FU19" i="16"/>
  <c r="FR19" i="16"/>
  <c r="FH19" i="16"/>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E19" i="16"/>
  <c r="DC19" i="16"/>
  <c r="DA19" i="16"/>
  <c r="CY19" i="16"/>
  <c r="CW19" i="16"/>
  <c r="CU19" i="16"/>
  <c r="CS19" i="16"/>
  <c r="CQ19" i="16"/>
  <c r="CO19" i="16"/>
  <c r="CM19" i="16"/>
  <c r="CK19" i="16"/>
  <c r="CI19" i="16"/>
  <c r="CG19" i="16"/>
  <c r="CE19" i="16"/>
  <c r="CC19" i="16"/>
  <c r="CA19" i="16"/>
  <c r="BY19" i="16"/>
  <c r="BW19" i="16"/>
  <c r="BU19" i="16"/>
  <c r="BS19" i="16"/>
  <c r="BQ19" i="16"/>
  <c r="BO19" i="16"/>
  <c r="BM19" i="16"/>
  <c r="BK19" i="16"/>
  <c r="BB19" i="16"/>
  <c r="AZ19" i="16"/>
  <c r="AX19" i="16"/>
  <c r="AV19" i="16"/>
  <c r="AT19" i="16"/>
  <c r="AR19" i="16"/>
  <c r="AP19" i="16"/>
  <c r="AN19" i="16"/>
  <c r="AL19" i="16"/>
  <c r="AJ19" i="16"/>
  <c r="AH19" i="16"/>
  <c r="AF19" i="16"/>
  <c r="AD19" i="16"/>
  <c r="AB19" i="16"/>
  <c r="Z19" i="16"/>
  <c r="X19" i="16"/>
  <c r="V19" i="16"/>
  <c r="T19" i="16"/>
  <c r="R19" i="16"/>
  <c r="P19" i="16"/>
  <c r="N19" i="16"/>
  <c r="L19" i="16"/>
  <c r="J19" i="16"/>
  <c r="H19" i="16"/>
  <c r="FU18" i="16"/>
  <c r="FR18" i="16"/>
  <c r="FH18" i="16"/>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E18" i="16"/>
  <c r="DC18" i="16"/>
  <c r="DA18" i="16"/>
  <c r="CY18" i="16"/>
  <c r="CW18" i="16"/>
  <c r="CU18" i="16"/>
  <c r="CS18" i="16"/>
  <c r="CQ18" i="16"/>
  <c r="CO18" i="16"/>
  <c r="CM18" i="16"/>
  <c r="CK18" i="16"/>
  <c r="CI18" i="16"/>
  <c r="CG18" i="16"/>
  <c r="CE18" i="16"/>
  <c r="CC18" i="16"/>
  <c r="CA18" i="16"/>
  <c r="BY18" i="16"/>
  <c r="BW18" i="16"/>
  <c r="BU18" i="16"/>
  <c r="BS18" i="16"/>
  <c r="BQ18" i="16"/>
  <c r="BO18" i="16"/>
  <c r="BM18" i="16"/>
  <c r="BK18" i="16"/>
  <c r="BB18" i="16"/>
  <c r="AZ18" i="16"/>
  <c r="AX18" i="16"/>
  <c r="AV18" i="16"/>
  <c r="AT18" i="16"/>
  <c r="AR18" i="16"/>
  <c r="AP18" i="16"/>
  <c r="AN18" i="16"/>
  <c r="AL18" i="16"/>
  <c r="AJ18" i="16"/>
  <c r="AH18" i="16"/>
  <c r="AF18" i="16"/>
  <c r="AD18" i="16"/>
  <c r="AB18" i="16"/>
  <c r="Z18" i="16"/>
  <c r="X18" i="16"/>
  <c r="V18" i="16"/>
  <c r="T18" i="16"/>
  <c r="R18" i="16"/>
  <c r="P18" i="16"/>
  <c r="N18" i="16"/>
  <c r="L18" i="16"/>
  <c r="J18" i="16"/>
  <c r="H18" i="16"/>
  <c r="FU17" i="16"/>
  <c r="FR17" i="16"/>
  <c r="FH17" i="16"/>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E17" i="16"/>
  <c r="DC17" i="16"/>
  <c r="DA17" i="16"/>
  <c r="CY17" i="16"/>
  <c r="CW17" i="16"/>
  <c r="CU17" i="16"/>
  <c r="CS17" i="16"/>
  <c r="CQ17" i="16"/>
  <c r="CO17" i="16"/>
  <c r="CM17" i="16"/>
  <c r="CK17" i="16"/>
  <c r="CI17" i="16"/>
  <c r="CG17" i="16"/>
  <c r="CE17" i="16"/>
  <c r="CC17" i="16"/>
  <c r="CA17" i="16"/>
  <c r="BY17" i="16"/>
  <c r="BW17" i="16"/>
  <c r="BU17" i="16"/>
  <c r="BS17" i="16"/>
  <c r="BQ17" i="16"/>
  <c r="BO17" i="16"/>
  <c r="BM17" i="16"/>
  <c r="BK17" i="16"/>
  <c r="BB17" i="16"/>
  <c r="AZ17" i="16"/>
  <c r="AX17" i="16"/>
  <c r="AV17" i="16"/>
  <c r="AT17" i="16"/>
  <c r="AR17" i="16"/>
  <c r="AP17" i="16"/>
  <c r="AN17" i="16"/>
  <c r="AL17" i="16"/>
  <c r="AJ17" i="16"/>
  <c r="AH17" i="16"/>
  <c r="AF17" i="16"/>
  <c r="AD17" i="16"/>
  <c r="AB17" i="16"/>
  <c r="Z17" i="16"/>
  <c r="X17" i="16"/>
  <c r="V17" i="16"/>
  <c r="T17" i="16"/>
  <c r="R17" i="16"/>
  <c r="P17" i="16"/>
  <c r="N17" i="16"/>
  <c r="L17" i="16"/>
  <c r="J17" i="16"/>
  <c r="H17" i="16"/>
  <c r="FH10" i="16"/>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E10" i="16"/>
  <c r="DC10" i="16"/>
  <c r="DA10" i="16"/>
  <c r="CY10" i="16"/>
  <c r="CW10" i="16"/>
  <c r="CU10" i="16"/>
  <c r="CS10" i="16"/>
  <c r="CQ10" i="16"/>
  <c r="CO10" i="16"/>
  <c r="CM10" i="16"/>
  <c r="CK10" i="16"/>
  <c r="CI10" i="16"/>
  <c r="CG10" i="16"/>
  <c r="CE10" i="16"/>
  <c r="CC10" i="16"/>
  <c r="CA10" i="16"/>
  <c r="BY10" i="16"/>
  <c r="BW10" i="16"/>
  <c r="BU10" i="16"/>
  <c r="BS10" i="16"/>
  <c r="BQ10" i="16"/>
  <c r="BO10" i="16"/>
  <c r="BM10" i="16"/>
  <c r="BK10" i="16"/>
  <c r="BB10" i="16"/>
  <c r="AZ10" i="16"/>
  <c r="AX10" i="16"/>
  <c r="AV10" i="16"/>
  <c r="AT10" i="16"/>
  <c r="AR10" i="16"/>
  <c r="AP10" i="16"/>
  <c r="AN10" i="16"/>
  <c r="AL10" i="16"/>
  <c r="AJ10" i="16"/>
  <c r="AH10" i="16"/>
  <c r="AF10" i="16"/>
  <c r="AD10" i="16"/>
  <c r="AB10" i="16"/>
  <c r="Z10" i="16"/>
  <c r="X10" i="16"/>
  <c r="V10" i="16"/>
  <c r="T10" i="16"/>
  <c r="R10" i="16"/>
  <c r="P10" i="16"/>
  <c r="N10" i="16"/>
  <c r="L10" i="16"/>
  <c r="J10" i="16"/>
  <c r="H10" i="16"/>
  <c r="D10" i="16"/>
  <c r="FU16" i="16"/>
  <c r="FR16" i="16"/>
  <c r="FH16" i="16"/>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E16" i="16"/>
  <c r="DC16" i="16"/>
  <c r="DA16" i="16"/>
  <c r="CY16" i="16"/>
  <c r="CW16" i="16"/>
  <c r="CU16" i="16"/>
  <c r="CS16" i="16"/>
  <c r="CQ16" i="16"/>
  <c r="CO16" i="16"/>
  <c r="CM16" i="16"/>
  <c r="CK16" i="16"/>
  <c r="CI16" i="16"/>
  <c r="CG16" i="16"/>
  <c r="CE16" i="16"/>
  <c r="CC16" i="16"/>
  <c r="CA16" i="16"/>
  <c r="BY16" i="16"/>
  <c r="BW16" i="16"/>
  <c r="BU16" i="16"/>
  <c r="BS16" i="16"/>
  <c r="BQ16" i="16"/>
  <c r="BO16" i="16"/>
  <c r="BM16" i="16"/>
  <c r="BK16" i="16"/>
  <c r="BB16" i="16"/>
  <c r="AZ16" i="16"/>
  <c r="AX16" i="16"/>
  <c r="AV16" i="16"/>
  <c r="AT16" i="16"/>
  <c r="AR16" i="16"/>
  <c r="AP16" i="16"/>
  <c r="AN16" i="16"/>
  <c r="AL16" i="16"/>
  <c r="AJ16" i="16"/>
  <c r="AH16" i="16"/>
  <c r="AF16" i="16"/>
  <c r="AD16" i="16"/>
  <c r="AB16" i="16"/>
  <c r="Z16" i="16"/>
  <c r="X16" i="16"/>
  <c r="V16" i="16"/>
  <c r="T16" i="16"/>
  <c r="R16" i="16"/>
  <c r="P16" i="16"/>
  <c r="N16" i="16"/>
  <c r="L16" i="16"/>
  <c r="J16" i="16"/>
  <c r="H16" i="16"/>
  <c r="DM68" i="16"/>
  <c r="BJ68" i="16"/>
  <c r="FU26" i="16"/>
  <c r="FR26" i="16"/>
  <c r="FH26" i="16"/>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E26" i="16"/>
  <c r="DC26" i="16"/>
  <c r="DA26" i="16"/>
  <c r="CY26" i="16"/>
  <c r="CW26" i="16"/>
  <c r="CU26" i="16"/>
  <c r="CS26" i="16"/>
  <c r="CQ26" i="16"/>
  <c r="CO26" i="16"/>
  <c r="CM26" i="16"/>
  <c r="CK26" i="16"/>
  <c r="CI26" i="16"/>
  <c r="CG26" i="16"/>
  <c r="CE26" i="16"/>
  <c r="CC26" i="16"/>
  <c r="CA26" i="16"/>
  <c r="BY26" i="16"/>
  <c r="BW26" i="16"/>
  <c r="BU26" i="16"/>
  <c r="BS26" i="16"/>
  <c r="BQ26" i="16"/>
  <c r="BO26" i="16"/>
  <c r="BM26" i="16"/>
  <c r="BK26" i="16"/>
  <c r="BB26" i="16"/>
  <c r="AZ26" i="16"/>
  <c r="AX26" i="16"/>
  <c r="AV26" i="16"/>
  <c r="AT26" i="16"/>
  <c r="AR26" i="16"/>
  <c r="AP26" i="16"/>
  <c r="AN26" i="16"/>
  <c r="AL26" i="16"/>
  <c r="AJ26" i="16"/>
  <c r="AH26" i="16"/>
  <c r="AF26" i="16"/>
  <c r="AD26" i="16"/>
  <c r="AB26" i="16"/>
  <c r="Z26" i="16"/>
  <c r="X26" i="16"/>
  <c r="V26" i="16"/>
  <c r="T26" i="16"/>
  <c r="R26" i="16"/>
  <c r="P26" i="16"/>
  <c r="N26" i="16"/>
  <c r="L26" i="16"/>
  <c r="J26" i="16"/>
  <c r="H26" i="16"/>
  <c r="FU14" i="16"/>
  <c r="FR14" i="16"/>
  <c r="FH14" i="16"/>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E14" i="16"/>
  <c r="DC14" i="16"/>
  <c r="DA14" i="16"/>
  <c r="CY14" i="16"/>
  <c r="CW14" i="16"/>
  <c r="CU14" i="16"/>
  <c r="CS14" i="16"/>
  <c r="CQ14" i="16"/>
  <c r="CO14" i="16"/>
  <c r="CM14" i="16"/>
  <c r="CK14" i="16"/>
  <c r="CI14" i="16"/>
  <c r="CG14" i="16"/>
  <c r="CE14" i="16"/>
  <c r="CC14" i="16"/>
  <c r="CA14" i="16"/>
  <c r="BY14" i="16"/>
  <c r="BW14" i="16"/>
  <c r="BU14" i="16"/>
  <c r="BS14" i="16"/>
  <c r="BQ14" i="16"/>
  <c r="BO14" i="16"/>
  <c r="BM14" i="16"/>
  <c r="BK14" i="16"/>
  <c r="BB14" i="16"/>
  <c r="AZ14" i="16"/>
  <c r="AX14" i="16"/>
  <c r="AV14" i="16"/>
  <c r="AT14" i="16"/>
  <c r="AR14" i="16"/>
  <c r="AP14" i="16"/>
  <c r="AN14" i="16"/>
  <c r="AL14" i="16"/>
  <c r="AJ14" i="16"/>
  <c r="AH14" i="16"/>
  <c r="AF14" i="16"/>
  <c r="AD14" i="16"/>
  <c r="AB14" i="16"/>
  <c r="Z14" i="16"/>
  <c r="X14" i="16"/>
  <c r="V14" i="16"/>
  <c r="T14" i="16"/>
  <c r="R14" i="16"/>
  <c r="P14" i="16"/>
  <c r="N14" i="16"/>
  <c r="L14" i="16"/>
  <c r="J14" i="16"/>
  <c r="H14" i="16"/>
  <c r="FE1" i="16"/>
  <c r="DB1" i="16"/>
  <c r="FU17" i="15"/>
  <c r="FR17" i="15"/>
  <c r="FH17" i="15"/>
  <c r="FF17" i="15"/>
  <c r="FD17" i="15"/>
  <c r="FB17" i="15"/>
  <c r="EZ17" i="15"/>
  <c r="EX17" i="15"/>
  <c r="EV17" i="15"/>
  <c r="ET17" i="15"/>
  <c r="ER17" i="15"/>
  <c r="EP17" i="15"/>
  <c r="EN17" i="15"/>
  <c r="EL17" i="15"/>
  <c r="EJ17" i="15"/>
  <c r="EH17" i="15"/>
  <c r="EF17" i="15"/>
  <c r="ED17" i="15"/>
  <c r="EB17" i="15"/>
  <c r="DZ17" i="15"/>
  <c r="DX17" i="15"/>
  <c r="DV17" i="15"/>
  <c r="DT17" i="15"/>
  <c r="DR17" i="15"/>
  <c r="DP17" i="15"/>
  <c r="DN17" i="15"/>
  <c r="DE17" i="15"/>
  <c r="DC17" i="15"/>
  <c r="DA17" i="15"/>
  <c r="CY17" i="15"/>
  <c r="CW17" i="15"/>
  <c r="CU17" i="15"/>
  <c r="CS17" i="15"/>
  <c r="CQ17" i="15"/>
  <c r="CO17" i="15"/>
  <c r="CM17" i="15"/>
  <c r="CK17" i="15"/>
  <c r="CI17" i="15"/>
  <c r="CG17" i="15"/>
  <c r="CE17" i="15"/>
  <c r="CC17" i="15"/>
  <c r="CA17" i="15"/>
  <c r="BY17" i="15"/>
  <c r="BW17" i="15"/>
  <c r="BU17" i="15"/>
  <c r="BS17" i="15"/>
  <c r="BQ17" i="15"/>
  <c r="BO17" i="15"/>
  <c r="BM17" i="15"/>
  <c r="BK17" i="15"/>
  <c r="BB17" i="15"/>
  <c r="AZ17" i="15"/>
  <c r="AX17" i="15"/>
  <c r="AV17" i="15"/>
  <c r="AT17" i="15"/>
  <c r="AR17" i="15"/>
  <c r="AP17" i="15"/>
  <c r="AN17" i="15"/>
  <c r="AL17" i="15"/>
  <c r="AJ17" i="15"/>
  <c r="AH17" i="15"/>
  <c r="AF17" i="15"/>
  <c r="AD17" i="15"/>
  <c r="AB17" i="15"/>
  <c r="Z17" i="15"/>
  <c r="X17" i="15"/>
  <c r="V17" i="15"/>
  <c r="T17" i="15"/>
  <c r="R17" i="15"/>
  <c r="P17" i="15"/>
  <c r="N17" i="15"/>
  <c r="L17" i="15"/>
  <c r="J17" i="15"/>
  <c r="H17" i="15"/>
  <c r="FH10" i="15"/>
  <c r="FH14" i="15" s="1"/>
  <c r="FF10" i="15"/>
  <c r="FD10" i="15"/>
  <c r="FB10" i="15"/>
  <c r="EZ10" i="15"/>
  <c r="EX10" i="15"/>
  <c r="EV10" i="15"/>
  <c r="ET10" i="15"/>
  <c r="ER10" i="15"/>
  <c r="ER14" i="15" s="1"/>
  <c r="EP10" i="15"/>
  <c r="EN10" i="15"/>
  <c r="EL10" i="15"/>
  <c r="EJ10" i="15"/>
  <c r="EH10" i="15"/>
  <c r="EF10" i="15"/>
  <c r="ED10" i="15"/>
  <c r="EB10" i="15"/>
  <c r="EB14" i="15" s="1"/>
  <c r="DZ10" i="15"/>
  <c r="DX10" i="15"/>
  <c r="DV10" i="15"/>
  <c r="DT10" i="15"/>
  <c r="DR10" i="15"/>
  <c r="DP10" i="15"/>
  <c r="DN10" i="15"/>
  <c r="DE10" i="15"/>
  <c r="DE14" i="15" s="1"/>
  <c r="DC10" i="15"/>
  <c r="DA10" i="15"/>
  <c r="CY10" i="15"/>
  <c r="CW10" i="15"/>
  <c r="CU10" i="15"/>
  <c r="CS10" i="15"/>
  <c r="CQ10" i="15"/>
  <c r="CO10" i="15"/>
  <c r="CO14" i="15" s="1"/>
  <c r="CM10" i="15"/>
  <c r="CK10" i="15"/>
  <c r="CI10" i="15"/>
  <c r="CG10" i="15"/>
  <c r="CE10" i="15"/>
  <c r="CC10" i="15"/>
  <c r="CA10" i="15"/>
  <c r="BY10" i="15"/>
  <c r="BY14" i="15" s="1"/>
  <c r="BW10" i="15"/>
  <c r="BU10" i="15"/>
  <c r="BS10" i="15"/>
  <c r="BQ10" i="15"/>
  <c r="BO10" i="15"/>
  <c r="BM10" i="15"/>
  <c r="BK10" i="15"/>
  <c r="BB10" i="15"/>
  <c r="BB14" i="15" s="1"/>
  <c r="AZ10" i="15"/>
  <c r="AX10" i="15"/>
  <c r="AV10" i="15"/>
  <c r="AT10" i="15"/>
  <c r="AR10" i="15"/>
  <c r="AP10" i="15"/>
  <c r="AN10" i="15"/>
  <c r="AL10" i="15"/>
  <c r="AL14" i="15" s="1"/>
  <c r="AJ10" i="15"/>
  <c r="AH10" i="15"/>
  <c r="AF10" i="15"/>
  <c r="AD10" i="15"/>
  <c r="AB10" i="15"/>
  <c r="Z10" i="15"/>
  <c r="X10" i="15"/>
  <c r="V10" i="15"/>
  <c r="V14" i="15" s="1"/>
  <c r="T10" i="15"/>
  <c r="R10" i="15"/>
  <c r="P10" i="15"/>
  <c r="N10" i="15"/>
  <c r="L10" i="15"/>
  <c r="J10" i="15"/>
  <c r="H10" i="15"/>
  <c r="D10" i="15"/>
  <c r="FU16" i="15"/>
  <c r="FR16" i="15"/>
  <c r="FH16" i="15"/>
  <c r="FF16" i="15"/>
  <c r="FD16" i="15"/>
  <c r="FB16" i="15"/>
  <c r="EZ16" i="15"/>
  <c r="EX16" i="15"/>
  <c r="EX26" i="15" s="1"/>
  <c r="EV16" i="15"/>
  <c r="ET16" i="15"/>
  <c r="ER16" i="15"/>
  <c r="EP16" i="15"/>
  <c r="EN16" i="15"/>
  <c r="EL16" i="15"/>
  <c r="EJ16" i="15"/>
  <c r="EH16" i="15"/>
  <c r="EH26" i="15" s="1"/>
  <c r="EF16" i="15"/>
  <c r="ED16" i="15"/>
  <c r="EB16" i="15"/>
  <c r="DZ16" i="15"/>
  <c r="DX16" i="15"/>
  <c r="DV16" i="15"/>
  <c r="DT16" i="15"/>
  <c r="DR16" i="15"/>
  <c r="DR26" i="15" s="1"/>
  <c r="DP16" i="15"/>
  <c r="DN16" i="15"/>
  <c r="DE16" i="15"/>
  <c r="DC16" i="15"/>
  <c r="DA16" i="15"/>
  <c r="CY16" i="15"/>
  <c r="CW16" i="15"/>
  <c r="CU16" i="15"/>
  <c r="CU26" i="15" s="1"/>
  <c r="CS16" i="15"/>
  <c r="CQ16" i="15"/>
  <c r="CO16" i="15"/>
  <c r="CM16" i="15"/>
  <c r="CK16" i="15"/>
  <c r="CI16" i="15"/>
  <c r="CG16" i="15"/>
  <c r="CE16" i="15"/>
  <c r="CE26" i="15" s="1"/>
  <c r="CC16" i="15"/>
  <c r="CA16" i="15"/>
  <c r="BY16" i="15"/>
  <c r="BW16" i="15"/>
  <c r="BU16" i="15"/>
  <c r="BS16" i="15"/>
  <c r="BQ16" i="15"/>
  <c r="BO16" i="15"/>
  <c r="BO26" i="15" s="1"/>
  <c r="BM16" i="15"/>
  <c r="BK16" i="15"/>
  <c r="BB16" i="15"/>
  <c r="AZ16" i="15"/>
  <c r="AX16" i="15"/>
  <c r="AV16" i="15"/>
  <c r="AT16" i="15"/>
  <c r="AR16" i="15"/>
  <c r="AR26" i="15" s="1"/>
  <c r="AP16" i="15"/>
  <c r="AN16" i="15"/>
  <c r="AL16" i="15"/>
  <c r="AJ16" i="15"/>
  <c r="AH16" i="15"/>
  <c r="AF16" i="15"/>
  <c r="AD16" i="15"/>
  <c r="AB16" i="15"/>
  <c r="AB26" i="15" s="1"/>
  <c r="Z16" i="15"/>
  <c r="X16" i="15"/>
  <c r="V16" i="15"/>
  <c r="T16" i="15"/>
  <c r="R16" i="15"/>
  <c r="P16" i="15"/>
  <c r="N16" i="15"/>
  <c r="L16" i="15"/>
  <c r="L26" i="15" s="1"/>
  <c r="J16" i="15"/>
  <c r="H16" i="15"/>
  <c r="DM68" i="15"/>
  <c r="BJ68" i="15"/>
  <c r="FU26" i="15"/>
  <c r="FR26" i="15"/>
  <c r="FF26" i="15"/>
  <c r="FD26" i="15"/>
  <c r="FB26" i="15"/>
  <c r="EZ26" i="15"/>
  <c r="EV26" i="15"/>
  <c r="ET26" i="15"/>
  <c r="EP26" i="15"/>
  <c r="EN26" i="15"/>
  <c r="EL26" i="15"/>
  <c r="EJ26" i="15"/>
  <c r="EF26" i="15"/>
  <c r="ED26" i="15"/>
  <c r="DZ26" i="15"/>
  <c r="DX26" i="15"/>
  <c r="DV26" i="15"/>
  <c r="DT26" i="15"/>
  <c r="DP26" i="15"/>
  <c r="DN26" i="15"/>
  <c r="DC26" i="15"/>
  <c r="DA26" i="15"/>
  <c r="CY26" i="15"/>
  <c r="CW26" i="15"/>
  <c r="CS26" i="15"/>
  <c r="CQ26" i="15"/>
  <c r="CM26" i="15"/>
  <c r="CK26" i="15"/>
  <c r="CI26" i="15"/>
  <c r="CG26" i="15"/>
  <c r="CC26" i="15"/>
  <c r="CA26" i="15"/>
  <c r="BW26" i="15"/>
  <c r="BU26" i="15"/>
  <c r="BS26" i="15"/>
  <c r="BQ26" i="15"/>
  <c r="BM26" i="15"/>
  <c r="BK26" i="15"/>
  <c r="AZ26" i="15"/>
  <c r="AX26" i="15"/>
  <c r="AV26" i="15"/>
  <c r="AT26" i="15"/>
  <c r="AP26" i="15"/>
  <c r="AN26" i="15"/>
  <c r="AJ26" i="15"/>
  <c r="AH26" i="15"/>
  <c r="AF26" i="15"/>
  <c r="AD26" i="15"/>
  <c r="Z26" i="15"/>
  <c r="X26" i="15"/>
  <c r="T26" i="15"/>
  <c r="R26" i="15"/>
  <c r="P26" i="15"/>
  <c r="N26" i="15"/>
  <c r="J26" i="15"/>
  <c r="H26" i="15"/>
  <c r="FU14" i="15"/>
  <c r="FR14" i="15"/>
  <c r="FF14" i="15"/>
  <c r="FD14" i="15"/>
  <c r="FB14" i="15"/>
  <c r="EZ14" i="15"/>
  <c r="EX14" i="15"/>
  <c r="EV14" i="15"/>
  <c r="ET14" i="15"/>
  <c r="EP14" i="15"/>
  <c r="EN14" i="15"/>
  <c r="EL14" i="15"/>
  <c r="EJ14" i="15"/>
  <c r="EH14" i="15"/>
  <c r="EF14" i="15"/>
  <c r="ED14" i="15"/>
  <c r="DZ14" i="15"/>
  <c r="DX14" i="15"/>
  <c r="DV14" i="15"/>
  <c r="DT14" i="15"/>
  <c r="DR14" i="15"/>
  <c r="DP14" i="15"/>
  <c r="DN14" i="15"/>
  <c r="DC14" i="15"/>
  <c r="DA14" i="15"/>
  <c r="CY14" i="15"/>
  <c r="CW14" i="15"/>
  <c r="CU14" i="15"/>
  <c r="CS14" i="15"/>
  <c r="CQ14" i="15"/>
  <c r="CM14" i="15"/>
  <c r="CK14" i="15"/>
  <c r="CI14" i="15"/>
  <c r="CG14" i="15"/>
  <c r="CE14" i="15"/>
  <c r="CC14" i="15"/>
  <c r="CA14" i="15"/>
  <c r="BW14" i="15"/>
  <c r="BU14" i="15"/>
  <c r="BS14" i="15"/>
  <c r="BQ14" i="15"/>
  <c r="BO14" i="15"/>
  <c r="BM14" i="15"/>
  <c r="BK14" i="15"/>
  <c r="AZ14" i="15"/>
  <c r="AX14" i="15"/>
  <c r="AV14" i="15"/>
  <c r="AT14" i="15"/>
  <c r="AR14" i="15"/>
  <c r="AP14" i="15"/>
  <c r="AN14" i="15"/>
  <c r="AJ14" i="15"/>
  <c r="AH14" i="15"/>
  <c r="AF14" i="15"/>
  <c r="AD14" i="15"/>
  <c r="AB14" i="15"/>
  <c r="Z14" i="15"/>
  <c r="X14" i="15"/>
  <c r="T14" i="15"/>
  <c r="R14" i="15"/>
  <c r="P14" i="15"/>
  <c r="N14" i="15"/>
  <c r="L14" i="15"/>
  <c r="J14" i="15"/>
  <c r="H14" i="15"/>
  <c r="FE1" i="15"/>
  <c r="DB1" i="15"/>
  <c r="FU18" i="14"/>
  <c r="FR18" i="14"/>
  <c r="FH18" i="14"/>
  <c r="FF18" i="14"/>
  <c r="FD18" i="14"/>
  <c r="FB18" i="14"/>
  <c r="EZ18" i="14"/>
  <c r="EX18" i="14"/>
  <c r="EV18" i="14"/>
  <c r="ET18" i="14"/>
  <c r="ER18" i="14"/>
  <c r="EP18" i="14"/>
  <c r="EN18" i="14"/>
  <c r="EL18" i="14"/>
  <c r="EJ18" i="14"/>
  <c r="EH18" i="14"/>
  <c r="EF18" i="14"/>
  <c r="ED18" i="14"/>
  <c r="EB18" i="14"/>
  <c r="DZ18" i="14"/>
  <c r="DX18" i="14"/>
  <c r="DV18" i="14"/>
  <c r="DT18" i="14"/>
  <c r="DR18" i="14"/>
  <c r="DP18" i="14"/>
  <c r="DN18" i="14"/>
  <c r="DE18" i="14"/>
  <c r="DC18" i="14"/>
  <c r="DA18" i="14"/>
  <c r="CY18" i="14"/>
  <c r="CW18" i="14"/>
  <c r="CU18" i="14"/>
  <c r="CS18" i="14"/>
  <c r="CQ18" i="14"/>
  <c r="CO18" i="14"/>
  <c r="CM18" i="14"/>
  <c r="CK18" i="14"/>
  <c r="CI18" i="14"/>
  <c r="CG18" i="14"/>
  <c r="CE18" i="14"/>
  <c r="CC18" i="14"/>
  <c r="CA18" i="14"/>
  <c r="BY18" i="14"/>
  <c r="BW18" i="14"/>
  <c r="BU18" i="14"/>
  <c r="BS18" i="14"/>
  <c r="BQ18" i="14"/>
  <c r="BO18" i="14"/>
  <c r="BM18" i="14"/>
  <c r="BK18" i="14"/>
  <c r="BB18" i="14"/>
  <c r="AZ18" i="14"/>
  <c r="AX18" i="14"/>
  <c r="AV18" i="14"/>
  <c r="AT18" i="14"/>
  <c r="AR18" i="14"/>
  <c r="AP18" i="14"/>
  <c r="AN18" i="14"/>
  <c r="AL18" i="14"/>
  <c r="AJ18" i="14"/>
  <c r="AH18" i="14"/>
  <c r="AF18" i="14"/>
  <c r="AD18" i="14"/>
  <c r="AB18" i="14"/>
  <c r="Z18" i="14"/>
  <c r="X18" i="14"/>
  <c r="V18" i="14"/>
  <c r="T18" i="14"/>
  <c r="R18" i="14"/>
  <c r="P18" i="14"/>
  <c r="N18" i="14"/>
  <c r="L18" i="14"/>
  <c r="J18" i="14"/>
  <c r="H18" i="14"/>
  <c r="FU17" i="14"/>
  <c r="FR17" i="14"/>
  <c r="FH17" i="14"/>
  <c r="FF17" i="14"/>
  <c r="FD17" i="14"/>
  <c r="FB17" i="14"/>
  <c r="EZ17" i="14"/>
  <c r="EX17" i="14"/>
  <c r="EV17" i="14"/>
  <c r="ET17" i="14"/>
  <c r="ER17" i="14"/>
  <c r="EP17" i="14"/>
  <c r="EN17" i="14"/>
  <c r="EL17" i="14"/>
  <c r="EJ17" i="14"/>
  <c r="EH17" i="14"/>
  <c r="EF17" i="14"/>
  <c r="ED17" i="14"/>
  <c r="EB17" i="14"/>
  <c r="DZ17" i="14"/>
  <c r="DX17" i="14"/>
  <c r="DV17" i="14"/>
  <c r="DT17" i="14"/>
  <c r="DR17" i="14"/>
  <c r="DP17" i="14"/>
  <c r="DN17" i="14"/>
  <c r="DE17" i="14"/>
  <c r="DC17" i="14"/>
  <c r="DA17" i="14"/>
  <c r="CY17" i="14"/>
  <c r="CW17" i="14"/>
  <c r="CU17" i="14"/>
  <c r="CS17" i="14"/>
  <c r="CQ17" i="14"/>
  <c r="CO17" i="14"/>
  <c r="CM17" i="14"/>
  <c r="CK17" i="14"/>
  <c r="CI17" i="14"/>
  <c r="CG17" i="14"/>
  <c r="CE17" i="14"/>
  <c r="CC17" i="14"/>
  <c r="CA17" i="14"/>
  <c r="BY17" i="14"/>
  <c r="BW17" i="14"/>
  <c r="BU17" i="14"/>
  <c r="BS17" i="14"/>
  <c r="BQ17" i="14"/>
  <c r="BO17" i="14"/>
  <c r="BM17" i="14"/>
  <c r="BK17" i="14"/>
  <c r="BB17" i="14"/>
  <c r="AZ17" i="14"/>
  <c r="AX17" i="14"/>
  <c r="AV17" i="14"/>
  <c r="AT17" i="14"/>
  <c r="AR17" i="14"/>
  <c r="AP17" i="14"/>
  <c r="AN17" i="14"/>
  <c r="AL17" i="14"/>
  <c r="AJ17" i="14"/>
  <c r="AH17" i="14"/>
  <c r="AF17" i="14"/>
  <c r="AD17" i="14"/>
  <c r="AB17" i="14"/>
  <c r="Z17" i="14"/>
  <c r="X17" i="14"/>
  <c r="V17" i="14"/>
  <c r="T17" i="14"/>
  <c r="R17" i="14"/>
  <c r="P17" i="14"/>
  <c r="N17" i="14"/>
  <c r="L17" i="14"/>
  <c r="J17" i="14"/>
  <c r="H17" i="14"/>
  <c r="FH10" i="14"/>
  <c r="FF10" i="14"/>
  <c r="FD10" i="14"/>
  <c r="FB10" i="14"/>
  <c r="EZ10" i="14"/>
  <c r="EX10" i="14"/>
  <c r="EV10" i="14"/>
  <c r="ET10" i="14"/>
  <c r="ER10" i="14"/>
  <c r="EP10" i="14"/>
  <c r="EN10" i="14"/>
  <c r="EL10" i="14"/>
  <c r="EJ10" i="14"/>
  <c r="EH10" i="14"/>
  <c r="EF10" i="14"/>
  <c r="ED10" i="14"/>
  <c r="EB10" i="14"/>
  <c r="DZ10" i="14"/>
  <c r="DX10" i="14"/>
  <c r="DV10" i="14"/>
  <c r="DT10" i="14"/>
  <c r="DR10" i="14"/>
  <c r="DP10" i="14"/>
  <c r="DN10" i="14"/>
  <c r="DE10" i="14"/>
  <c r="DC10" i="14"/>
  <c r="DA10" i="14"/>
  <c r="CY10" i="14"/>
  <c r="CW10" i="14"/>
  <c r="CU10" i="14"/>
  <c r="CS10" i="14"/>
  <c r="CQ10" i="14"/>
  <c r="CO10" i="14"/>
  <c r="CM10" i="14"/>
  <c r="CK10" i="14"/>
  <c r="CI10" i="14"/>
  <c r="CG10" i="14"/>
  <c r="CE10" i="14"/>
  <c r="CC10" i="14"/>
  <c r="CA10" i="14"/>
  <c r="BY10" i="14"/>
  <c r="BW10" i="14"/>
  <c r="BU10" i="14"/>
  <c r="BS10" i="14"/>
  <c r="BQ10" i="14"/>
  <c r="BO10" i="14"/>
  <c r="BM10" i="14"/>
  <c r="BK10" i="14"/>
  <c r="BB10" i="14"/>
  <c r="AZ10" i="14"/>
  <c r="AX10" i="14"/>
  <c r="AV10" i="14"/>
  <c r="AT10" i="14"/>
  <c r="AR10" i="14"/>
  <c r="AP10" i="14"/>
  <c r="AN10" i="14"/>
  <c r="AL10" i="14"/>
  <c r="AJ10" i="14"/>
  <c r="AH10" i="14"/>
  <c r="AF10" i="14"/>
  <c r="AD10" i="14"/>
  <c r="AB10" i="14"/>
  <c r="Z10" i="14"/>
  <c r="X10" i="14"/>
  <c r="V10" i="14"/>
  <c r="T10" i="14"/>
  <c r="R10" i="14"/>
  <c r="P10" i="14"/>
  <c r="N10" i="14"/>
  <c r="L10" i="14"/>
  <c r="J10" i="14"/>
  <c r="H10" i="14"/>
  <c r="D10" i="14"/>
  <c r="FU16" i="14"/>
  <c r="FR16" i="14"/>
  <c r="FH16" i="14"/>
  <c r="FF16" i="14"/>
  <c r="FD16" i="14"/>
  <c r="FB16" i="14"/>
  <c r="EZ16" i="14"/>
  <c r="EX16" i="14"/>
  <c r="EV16" i="14"/>
  <c r="ET16" i="14"/>
  <c r="ER16" i="14"/>
  <c r="EP16" i="14"/>
  <c r="EN16" i="14"/>
  <c r="EL16" i="14"/>
  <c r="EJ16" i="14"/>
  <c r="EH16" i="14"/>
  <c r="EF16" i="14"/>
  <c r="ED16" i="14"/>
  <c r="EB16" i="14"/>
  <c r="DZ16" i="14"/>
  <c r="DX16" i="14"/>
  <c r="DV16" i="14"/>
  <c r="DT16" i="14"/>
  <c r="DR16" i="14"/>
  <c r="DP16" i="14"/>
  <c r="DN16" i="14"/>
  <c r="DE16" i="14"/>
  <c r="DC16" i="14"/>
  <c r="DA16" i="14"/>
  <c r="CY16" i="14"/>
  <c r="CW16" i="14"/>
  <c r="CU16" i="14"/>
  <c r="CS16" i="14"/>
  <c r="CQ16" i="14"/>
  <c r="CO16" i="14"/>
  <c r="CM16" i="14"/>
  <c r="CK16" i="14"/>
  <c r="CI16" i="14"/>
  <c r="CG16" i="14"/>
  <c r="CE16" i="14"/>
  <c r="CC16" i="14"/>
  <c r="CA16" i="14"/>
  <c r="BY16" i="14"/>
  <c r="BW16" i="14"/>
  <c r="BU16" i="14"/>
  <c r="BS16" i="14"/>
  <c r="BQ16" i="14"/>
  <c r="BO16" i="14"/>
  <c r="BM16" i="14"/>
  <c r="BK16" i="14"/>
  <c r="BB16" i="14"/>
  <c r="AZ16" i="14"/>
  <c r="AX16" i="14"/>
  <c r="AV16" i="14"/>
  <c r="AT16" i="14"/>
  <c r="AR16" i="14"/>
  <c r="AP16" i="14"/>
  <c r="AN16" i="14"/>
  <c r="AL16" i="14"/>
  <c r="AJ16" i="14"/>
  <c r="AH16" i="14"/>
  <c r="AF16" i="14"/>
  <c r="AD16" i="14"/>
  <c r="AB16" i="14"/>
  <c r="Z16" i="14"/>
  <c r="X16" i="14"/>
  <c r="V16" i="14"/>
  <c r="T16" i="14"/>
  <c r="R16" i="14"/>
  <c r="P16" i="14"/>
  <c r="N16" i="14"/>
  <c r="L16" i="14"/>
  <c r="J16" i="14"/>
  <c r="H16" i="14"/>
  <c r="DM68" i="14"/>
  <c r="BJ68" i="14"/>
  <c r="FU26" i="14"/>
  <c r="FR26" i="14"/>
  <c r="FH26" i="14"/>
  <c r="FF26" i="14"/>
  <c r="FD26" i="14"/>
  <c r="FB26" i="14"/>
  <c r="EZ26" i="14"/>
  <c r="EX26" i="14"/>
  <c r="EV26" i="14"/>
  <c r="ET26" i="14"/>
  <c r="ER26" i="14"/>
  <c r="EP26" i="14"/>
  <c r="EN26" i="14"/>
  <c r="EL26" i="14"/>
  <c r="EJ26" i="14"/>
  <c r="EH26" i="14"/>
  <c r="EF26" i="14"/>
  <c r="ED26" i="14"/>
  <c r="EB26" i="14"/>
  <c r="DZ26" i="14"/>
  <c r="DX26" i="14"/>
  <c r="DV26" i="14"/>
  <c r="DT26" i="14"/>
  <c r="DR26" i="14"/>
  <c r="DP26" i="14"/>
  <c r="DN26" i="14"/>
  <c r="DE26" i="14"/>
  <c r="DC26" i="14"/>
  <c r="DA26" i="14"/>
  <c r="CY26" i="14"/>
  <c r="CW26" i="14"/>
  <c r="CU26" i="14"/>
  <c r="CS26" i="14"/>
  <c r="CQ26" i="14"/>
  <c r="CO26" i="14"/>
  <c r="CM26" i="14"/>
  <c r="CK26" i="14"/>
  <c r="CI26" i="14"/>
  <c r="CG26" i="14"/>
  <c r="CE26" i="14"/>
  <c r="CC26" i="14"/>
  <c r="CA26" i="14"/>
  <c r="BY26" i="14"/>
  <c r="BW26" i="14"/>
  <c r="BU26" i="14"/>
  <c r="BS26" i="14"/>
  <c r="BQ26" i="14"/>
  <c r="BO26" i="14"/>
  <c r="BM26" i="14"/>
  <c r="BK26" i="14"/>
  <c r="BB26" i="14"/>
  <c r="AZ26" i="14"/>
  <c r="AX26" i="14"/>
  <c r="AV26" i="14"/>
  <c r="AT26" i="14"/>
  <c r="AR26" i="14"/>
  <c r="AP26" i="14"/>
  <c r="AN26" i="14"/>
  <c r="AL26" i="14"/>
  <c r="AJ26" i="14"/>
  <c r="AH26" i="14"/>
  <c r="AF26" i="14"/>
  <c r="AD26" i="14"/>
  <c r="AB26" i="14"/>
  <c r="Z26" i="14"/>
  <c r="X26" i="14"/>
  <c r="V26" i="14"/>
  <c r="T26" i="14"/>
  <c r="R26" i="14"/>
  <c r="P26" i="14"/>
  <c r="N26" i="14"/>
  <c r="L26" i="14"/>
  <c r="J26" i="14"/>
  <c r="H26" i="14"/>
  <c r="FU14" i="14"/>
  <c r="FR14" i="14"/>
  <c r="FH14" i="14"/>
  <c r="FF14" i="14"/>
  <c r="FD14" i="14"/>
  <c r="FB14" i="14"/>
  <c r="EZ14" i="14"/>
  <c r="EX14" i="14"/>
  <c r="EV14" i="14"/>
  <c r="ET14" i="14"/>
  <c r="ER14" i="14"/>
  <c r="EP14" i="14"/>
  <c r="EN14" i="14"/>
  <c r="EL14" i="14"/>
  <c r="EJ14" i="14"/>
  <c r="EH14" i="14"/>
  <c r="EF14" i="14"/>
  <c r="ED14" i="14"/>
  <c r="EB14" i="14"/>
  <c r="DZ14" i="14"/>
  <c r="DX14" i="14"/>
  <c r="DV14" i="14"/>
  <c r="DT14" i="14"/>
  <c r="DR14" i="14"/>
  <c r="DP14" i="14"/>
  <c r="DN14" i="14"/>
  <c r="DE14" i="14"/>
  <c r="DC14" i="14"/>
  <c r="DA14" i="14"/>
  <c r="CY14" i="14"/>
  <c r="CW14" i="14"/>
  <c r="CU14" i="14"/>
  <c r="CS14" i="14"/>
  <c r="CQ14" i="14"/>
  <c r="CO14" i="14"/>
  <c r="CM14" i="14"/>
  <c r="CK14" i="14"/>
  <c r="CI14" i="14"/>
  <c r="CG14" i="14"/>
  <c r="CE14" i="14"/>
  <c r="CC14" i="14"/>
  <c r="CA14" i="14"/>
  <c r="BY14" i="14"/>
  <c r="BW14" i="14"/>
  <c r="BU14" i="14"/>
  <c r="BS14" i="14"/>
  <c r="BQ14" i="14"/>
  <c r="BO14" i="14"/>
  <c r="BM14" i="14"/>
  <c r="BK14" i="14"/>
  <c r="BB14" i="14"/>
  <c r="AZ14" i="14"/>
  <c r="AX14" i="14"/>
  <c r="AV14" i="14"/>
  <c r="AT14" i="14"/>
  <c r="AR14" i="14"/>
  <c r="AP14" i="14"/>
  <c r="AN14" i="14"/>
  <c r="AL14" i="14"/>
  <c r="AJ14" i="14"/>
  <c r="AH14" i="14"/>
  <c r="AF14" i="14"/>
  <c r="AD14" i="14"/>
  <c r="AB14" i="14"/>
  <c r="Z14" i="14"/>
  <c r="X14" i="14"/>
  <c r="V14" i="14"/>
  <c r="T14" i="14"/>
  <c r="R14" i="14"/>
  <c r="P14" i="14"/>
  <c r="N14" i="14"/>
  <c r="L14" i="14"/>
  <c r="J14" i="14"/>
  <c r="H14" i="14"/>
  <c r="FE1" i="14"/>
  <c r="DB1" i="14"/>
  <c r="FU16" i="13"/>
  <c r="FR16" i="13"/>
  <c r="FH16" i="13"/>
  <c r="FF16" i="13"/>
  <c r="FD16" i="13"/>
  <c r="FB16" i="13"/>
  <c r="EZ16" i="13"/>
  <c r="EX16" i="13"/>
  <c r="EV16" i="13"/>
  <c r="ET16" i="13"/>
  <c r="ER16" i="13"/>
  <c r="EP16" i="13"/>
  <c r="EN16" i="13"/>
  <c r="EL16" i="13"/>
  <c r="EJ16" i="13"/>
  <c r="EH16" i="13"/>
  <c r="EF16" i="13"/>
  <c r="ED16" i="13"/>
  <c r="EB16" i="13"/>
  <c r="DZ16" i="13"/>
  <c r="DX16" i="13"/>
  <c r="DV16" i="13"/>
  <c r="DT16" i="13"/>
  <c r="DR16" i="13"/>
  <c r="DP16" i="13"/>
  <c r="DN16" i="13"/>
  <c r="DE16" i="13"/>
  <c r="DC16" i="13"/>
  <c r="DA16" i="13"/>
  <c r="CY16" i="13"/>
  <c r="CW16" i="13"/>
  <c r="CU16" i="13"/>
  <c r="CS16" i="13"/>
  <c r="CQ16" i="13"/>
  <c r="CO16" i="13"/>
  <c r="CM16" i="13"/>
  <c r="CK16" i="13"/>
  <c r="CI16" i="13"/>
  <c r="CG16" i="13"/>
  <c r="CE16" i="13"/>
  <c r="CC16" i="13"/>
  <c r="CA16" i="13"/>
  <c r="BY16" i="13"/>
  <c r="BW16" i="13"/>
  <c r="BU16" i="13"/>
  <c r="BS16" i="13"/>
  <c r="BQ16" i="13"/>
  <c r="BO16" i="13"/>
  <c r="BM16" i="13"/>
  <c r="BK16" i="13"/>
  <c r="BB16" i="13"/>
  <c r="AZ16" i="13"/>
  <c r="AX16" i="13"/>
  <c r="AV16" i="13"/>
  <c r="AT16" i="13"/>
  <c r="AR16" i="13"/>
  <c r="AP16" i="13"/>
  <c r="AN16" i="13"/>
  <c r="AL16" i="13"/>
  <c r="AJ16" i="13"/>
  <c r="AH16" i="13"/>
  <c r="AF16" i="13"/>
  <c r="AD16" i="13"/>
  <c r="AB16" i="13"/>
  <c r="Z16" i="13"/>
  <c r="X16" i="13"/>
  <c r="V16" i="13"/>
  <c r="T16" i="13"/>
  <c r="R16" i="13"/>
  <c r="P16" i="13"/>
  <c r="N16" i="13"/>
  <c r="L16" i="13"/>
  <c r="J16" i="13"/>
  <c r="H16" i="13"/>
  <c r="DM68" i="13"/>
  <c r="BJ68" i="13"/>
  <c r="FU26" i="13"/>
  <c r="FR26" i="13"/>
  <c r="FH26" i="13"/>
  <c r="FF26" i="13"/>
  <c r="FD26" i="13"/>
  <c r="FB26" i="13"/>
  <c r="EZ26" i="13"/>
  <c r="EX26" i="13"/>
  <c r="EV26" i="13"/>
  <c r="ET26" i="13"/>
  <c r="ER26" i="13"/>
  <c r="EP26" i="13"/>
  <c r="EN26" i="13"/>
  <c r="EL26" i="13"/>
  <c r="EJ26" i="13"/>
  <c r="EH26" i="13"/>
  <c r="EF26" i="13"/>
  <c r="ED26" i="13"/>
  <c r="EB26" i="13"/>
  <c r="DZ26" i="13"/>
  <c r="DX26" i="13"/>
  <c r="DV26" i="13"/>
  <c r="DT26" i="13"/>
  <c r="DR26" i="13"/>
  <c r="DP26" i="13"/>
  <c r="DN26" i="13"/>
  <c r="DE26" i="13"/>
  <c r="DC26" i="13"/>
  <c r="DA26" i="13"/>
  <c r="CY26" i="13"/>
  <c r="CW26" i="13"/>
  <c r="CU26" i="13"/>
  <c r="CS26" i="13"/>
  <c r="CQ26" i="13"/>
  <c r="CO26" i="13"/>
  <c r="CM26" i="13"/>
  <c r="CK26" i="13"/>
  <c r="CI26" i="13"/>
  <c r="CG26" i="13"/>
  <c r="CE26" i="13"/>
  <c r="CC26" i="13"/>
  <c r="CA26" i="13"/>
  <c r="BY26" i="13"/>
  <c r="BW26" i="13"/>
  <c r="BU26" i="13"/>
  <c r="BS26" i="13"/>
  <c r="BQ26" i="13"/>
  <c r="BO26" i="13"/>
  <c r="BM26" i="13"/>
  <c r="BK26" i="13"/>
  <c r="BB26" i="13"/>
  <c r="AZ26" i="13"/>
  <c r="AX26" i="13"/>
  <c r="AV26" i="13"/>
  <c r="AT26" i="13"/>
  <c r="AR26" i="13"/>
  <c r="AP26" i="13"/>
  <c r="AN26" i="13"/>
  <c r="AL26" i="13"/>
  <c r="AJ26" i="13"/>
  <c r="AH26" i="13"/>
  <c r="AF26" i="13"/>
  <c r="AD26" i="13"/>
  <c r="AB26" i="13"/>
  <c r="Z26" i="13"/>
  <c r="X26" i="13"/>
  <c r="V26" i="13"/>
  <c r="T26" i="13"/>
  <c r="R26" i="13"/>
  <c r="P26" i="13"/>
  <c r="N26" i="13"/>
  <c r="L26" i="13"/>
  <c r="J26" i="13"/>
  <c r="H26" i="13"/>
  <c r="FU14" i="13"/>
  <c r="FR14" i="13"/>
  <c r="FH14" i="13"/>
  <c r="FF14" i="13"/>
  <c r="FD14" i="13"/>
  <c r="FB14" i="13"/>
  <c r="EZ14" i="13"/>
  <c r="EX14" i="13"/>
  <c r="EV14" i="13"/>
  <c r="ET14" i="13"/>
  <c r="ER14" i="13"/>
  <c r="EP14" i="13"/>
  <c r="EN14" i="13"/>
  <c r="EL14" i="13"/>
  <c r="EJ14" i="13"/>
  <c r="EH14" i="13"/>
  <c r="EF14" i="13"/>
  <c r="ED14" i="13"/>
  <c r="EB14" i="13"/>
  <c r="DZ14" i="13"/>
  <c r="DX14" i="13"/>
  <c r="DV14" i="13"/>
  <c r="DT14" i="13"/>
  <c r="DR14" i="13"/>
  <c r="DP14" i="13"/>
  <c r="DN14" i="13"/>
  <c r="DE14" i="13"/>
  <c r="DC14" i="13"/>
  <c r="DA14" i="13"/>
  <c r="CY14" i="13"/>
  <c r="CW14" i="13"/>
  <c r="CU14" i="13"/>
  <c r="CS14" i="13"/>
  <c r="CQ14" i="13"/>
  <c r="CO14" i="13"/>
  <c r="CM14" i="13"/>
  <c r="CK14" i="13"/>
  <c r="CI14" i="13"/>
  <c r="CG14" i="13"/>
  <c r="CE14" i="13"/>
  <c r="CC14" i="13"/>
  <c r="CA14" i="13"/>
  <c r="BY14" i="13"/>
  <c r="BW14" i="13"/>
  <c r="BU14" i="13"/>
  <c r="BS14" i="13"/>
  <c r="BQ14" i="13"/>
  <c r="BO14" i="13"/>
  <c r="BM14" i="13"/>
  <c r="BK14" i="13"/>
  <c r="BB14" i="13"/>
  <c r="AZ14" i="13"/>
  <c r="AX14" i="13"/>
  <c r="AV14" i="13"/>
  <c r="AT14" i="13"/>
  <c r="AR14" i="13"/>
  <c r="AP14" i="13"/>
  <c r="AN14" i="13"/>
  <c r="AL14" i="13"/>
  <c r="AJ14" i="13"/>
  <c r="AH14" i="13"/>
  <c r="AF14" i="13"/>
  <c r="AD14" i="13"/>
  <c r="AB14" i="13"/>
  <c r="Z14" i="13"/>
  <c r="X14" i="13"/>
  <c r="V14" i="13"/>
  <c r="T14" i="13"/>
  <c r="R14" i="13"/>
  <c r="P14" i="13"/>
  <c r="N14" i="13"/>
  <c r="L14" i="13"/>
  <c r="J14" i="13"/>
  <c r="H14" i="13"/>
  <c r="FE1" i="13"/>
  <c r="DB1" i="13"/>
  <c r="FU18" i="12"/>
  <c r="FR18" i="12"/>
  <c r="FH18" i="12"/>
  <c r="FF18" i="12"/>
  <c r="FD18" i="12"/>
  <c r="FB18" i="12"/>
  <c r="EZ18" i="12"/>
  <c r="EX18" i="12"/>
  <c r="EV18" i="12"/>
  <c r="ET18" i="12"/>
  <c r="ER18" i="12"/>
  <c r="EP18" i="12"/>
  <c r="EN18" i="12"/>
  <c r="EL18" i="12"/>
  <c r="EJ18" i="12"/>
  <c r="EH18" i="12"/>
  <c r="EF18" i="12"/>
  <c r="ED18" i="12"/>
  <c r="EB18" i="12"/>
  <c r="DZ18" i="12"/>
  <c r="DX18" i="12"/>
  <c r="DV18" i="12"/>
  <c r="DT18" i="12"/>
  <c r="DR18" i="12"/>
  <c r="DP18" i="12"/>
  <c r="DN18" i="12"/>
  <c r="DE18" i="12"/>
  <c r="DC18" i="12"/>
  <c r="DA18" i="12"/>
  <c r="CY18" i="12"/>
  <c r="CW18" i="12"/>
  <c r="CU18" i="12"/>
  <c r="CS18" i="12"/>
  <c r="CQ18" i="12"/>
  <c r="CO18" i="12"/>
  <c r="CM18" i="12"/>
  <c r="CK18" i="12"/>
  <c r="CI18" i="12"/>
  <c r="CG18" i="12"/>
  <c r="CE18" i="12"/>
  <c r="CC18" i="12"/>
  <c r="CA18" i="12"/>
  <c r="BY18" i="12"/>
  <c r="BW18" i="12"/>
  <c r="BU18" i="12"/>
  <c r="BS18" i="12"/>
  <c r="BQ18" i="12"/>
  <c r="BO18" i="12"/>
  <c r="BM18" i="12"/>
  <c r="BK18" i="12"/>
  <c r="BB18" i="12"/>
  <c r="AZ18" i="12"/>
  <c r="AX18" i="12"/>
  <c r="AV18" i="12"/>
  <c r="AT18" i="12"/>
  <c r="AR18" i="12"/>
  <c r="AP18" i="12"/>
  <c r="AN18" i="12"/>
  <c r="AL18" i="12"/>
  <c r="AJ18" i="12"/>
  <c r="AH18" i="12"/>
  <c r="AF18" i="12"/>
  <c r="AD18" i="12"/>
  <c r="AB18" i="12"/>
  <c r="Z18" i="12"/>
  <c r="X18" i="12"/>
  <c r="V18" i="12"/>
  <c r="T18" i="12"/>
  <c r="R18" i="12"/>
  <c r="P18" i="12"/>
  <c r="N18" i="12"/>
  <c r="L18" i="12"/>
  <c r="J18" i="12"/>
  <c r="H18" i="12"/>
  <c r="FU17" i="12"/>
  <c r="FR17" i="12"/>
  <c r="FH17" i="12"/>
  <c r="FF17" i="12"/>
  <c r="FD17" i="12"/>
  <c r="FB17" i="12"/>
  <c r="EZ17" i="12"/>
  <c r="EX17" i="12"/>
  <c r="EV17" i="12"/>
  <c r="ET17" i="12"/>
  <c r="ER17" i="12"/>
  <c r="EP17" i="12"/>
  <c r="EN17" i="12"/>
  <c r="EL17" i="12"/>
  <c r="EJ17" i="12"/>
  <c r="EH17" i="12"/>
  <c r="EF17" i="12"/>
  <c r="ED17" i="12"/>
  <c r="EB17" i="12"/>
  <c r="DZ17" i="12"/>
  <c r="DX17" i="12"/>
  <c r="DV17" i="12"/>
  <c r="DT17" i="12"/>
  <c r="DR17" i="12"/>
  <c r="DP17" i="12"/>
  <c r="DN17" i="12"/>
  <c r="DE17" i="12"/>
  <c r="DC17" i="12"/>
  <c r="DA17" i="12"/>
  <c r="CY17" i="12"/>
  <c r="CW17" i="12"/>
  <c r="CU17" i="12"/>
  <c r="CS17" i="12"/>
  <c r="CQ17" i="12"/>
  <c r="CO17" i="12"/>
  <c r="CM17" i="12"/>
  <c r="CK17" i="12"/>
  <c r="CI17" i="12"/>
  <c r="CG17" i="12"/>
  <c r="CE17" i="12"/>
  <c r="CC17" i="12"/>
  <c r="CA17" i="12"/>
  <c r="BY17" i="12"/>
  <c r="BW17" i="12"/>
  <c r="BU17" i="12"/>
  <c r="BS17" i="12"/>
  <c r="BQ17" i="12"/>
  <c r="BO17" i="12"/>
  <c r="BM17" i="12"/>
  <c r="BK17" i="12"/>
  <c r="BB17" i="12"/>
  <c r="AZ17" i="12"/>
  <c r="AX17" i="12"/>
  <c r="AV17" i="12"/>
  <c r="AT17" i="12"/>
  <c r="AR17" i="12"/>
  <c r="AP17" i="12"/>
  <c r="AN17" i="12"/>
  <c r="AL17" i="12"/>
  <c r="AJ17" i="12"/>
  <c r="AH17" i="12"/>
  <c r="AF17" i="12"/>
  <c r="AD17" i="12"/>
  <c r="AB17" i="12"/>
  <c r="Z17" i="12"/>
  <c r="X17" i="12"/>
  <c r="V17" i="12"/>
  <c r="T17" i="12"/>
  <c r="R17" i="12"/>
  <c r="P17" i="12"/>
  <c r="N17" i="12"/>
  <c r="L17" i="12"/>
  <c r="J17" i="12"/>
  <c r="H17" i="12"/>
  <c r="FH10" i="12"/>
  <c r="FF10" i="12"/>
  <c r="FD10" i="12"/>
  <c r="FB10" i="12"/>
  <c r="EZ10" i="12"/>
  <c r="EX10" i="12"/>
  <c r="EV10" i="12"/>
  <c r="ET10" i="12"/>
  <c r="ER10" i="12"/>
  <c r="EP10" i="12"/>
  <c r="EN10" i="12"/>
  <c r="EL10" i="12"/>
  <c r="EJ10" i="12"/>
  <c r="EH10" i="12"/>
  <c r="EF10" i="12"/>
  <c r="ED10" i="12"/>
  <c r="EB10" i="12"/>
  <c r="DZ10" i="12"/>
  <c r="DX10" i="12"/>
  <c r="DV10" i="12"/>
  <c r="DT10" i="12"/>
  <c r="DR10" i="12"/>
  <c r="DP10" i="12"/>
  <c r="DN10" i="12"/>
  <c r="DE10" i="12"/>
  <c r="DC10" i="12"/>
  <c r="DA10" i="12"/>
  <c r="CY10" i="12"/>
  <c r="CW10" i="12"/>
  <c r="CU10" i="12"/>
  <c r="CS10" i="12"/>
  <c r="CQ10" i="12"/>
  <c r="CO10" i="12"/>
  <c r="CM10" i="12"/>
  <c r="CK10" i="12"/>
  <c r="CI10" i="12"/>
  <c r="CG10" i="12"/>
  <c r="CE10" i="12"/>
  <c r="CC10" i="12"/>
  <c r="CA10" i="12"/>
  <c r="BY10" i="12"/>
  <c r="BW10" i="12"/>
  <c r="BU10" i="12"/>
  <c r="BS10" i="12"/>
  <c r="BQ10" i="12"/>
  <c r="BO10" i="12"/>
  <c r="BM10" i="12"/>
  <c r="BK10" i="12"/>
  <c r="BB10" i="12"/>
  <c r="AZ10" i="12"/>
  <c r="AX10" i="12"/>
  <c r="AV10" i="12"/>
  <c r="AT10" i="12"/>
  <c r="AR10" i="12"/>
  <c r="AP10" i="12"/>
  <c r="AN10" i="12"/>
  <c r="AL10" i="12"/>
  <c r="AJ10" i="12"/>
  <c r="AH10" i="12"/>
  <c r="AF10" i="12"/>
  <c r="AD10" i="12"/>
  <c r="AB10" i="12"/>
  <c r="Z10" i="12"/>
  <c r="X10" i="12"/>
  <c r="V10" i="12"/>
  <c r="T10" i="12"/>
  <c r="R10" i="12"/>
  <c r="P10" i="12"/>
  <c r="N10" i="12"/>
  <c r="L10" i="12"/>
  <c r="J10" i="12"/>
  <c r="H10" i="12"/>
  <c r="D10" i="12"/>
  <c r="FU16" i="12"/>
  <c r="FR16" i="12"/>
  <c r="FH16" i="12"/>
  <c r="FF16" i="12"/>
  <c r="FD16" i="12"/>
  <c r="FB16" i="12"/>
  <c r="EZ16" i="12"/>
  <c r="EX16" i="12"/>
  <c r="EV16" i="12"/>
  <c r="ET16" i="12"/>
  <c r="ER16" i="12"/>
  <c r="EP16" i="12"/>
  <c r="EN16" i="12"/>
  <c r="EL16" i="12"/>
  <c r="EJ16" i="12"/>
  <c r="EH16" i="12"/>
  <c r="EF16" i="12"/>
  <c r="ED16" i="12"/>
  <c r="EB16" i="12"/>
  <c r="DZ16" i="12"/>
  <c r="DX16" i="12"/>
  <c r="DV16" i="12"/>
  <c r="DT16" i="12"/>
  <c r="DR16" i="12"/>
  <c r="DP16" i="12"/>
  <c r="DN16" i="12"/>
  <c r="DE16" i="12"/>
  <c r="DC16" i="12"/>
  <c r="DA16" i="12"/>
  <c r="CY16" i="12"/>
  <c r="CW16" i="12"/>
  <c r="CU16" i="12"/>
  <c r="CS16" i="12"/>
  <c r="CQ16" i="12"/>
  <c r="CO16" i="12"/>
  <c r="CM16" i="12"/>
  <c r="CK16" i="12"/>
  <c r="CI16" i="12"/>
  <c r="CG16" i="12"/>
  <c r="CE16" i="12"/>
  <c r="CC16" i="12"/>
  <c r="CA16" i="12"/>
  <c r="BY16" i="12"/>
  <c r="BW16" i="12"/>
  <c r="BU16" i="12"/>
  <c r="BS16" i="12"/>
  <c r="BQ16" i="12"/>
  <c r="BO16" i="12"/>
  <c r="BM16" i="12"/>
  <c r="BK16" i="12"/>
  <c r="BB16" i="12"/>
  <c r="AZ16" i="12"/>
  <c r="AX16" i="12"/>
  <c r="AV16" i="12"/>
  <c r="AT16" i="12"/>
  <c r="AR16" i="12"/>
  <c r="AP16" i="12"/>
  <c r="AN16" i="12"/>
  <c r="AL16" i="12"/>
  <c r="AJ16" i="12"/>
  <c r="AH16" i="12"/>
  <c r="AF16" i="12"/>
  <c r="AD16" i="12"/>
  <c r="AB16" i="12"/>
  <c r="Z16" i="12"/>
  <c r="X16" i="12"/>
  <c r="V16" i="12"/>
  <c r="T16" i="12"/>
  <c r="R16" i="12"/>
  <c r="P16" i="12"/>
  <c r="N16" i="12"/>
  <c r="L16" i="12"/>
  <c r="J16" i="12"/>
  <c r="H16" i="12"/>
  <c r="DM68" i="12"/>
  <c r="BJ68" i="12"/>
  <c r="FU26" i="12"/>
  <c r="FR26" i="12"/>
  <c r="FH26" i="12"/>
  <c r="FF26" i="12"/>
  <c r="FD26" i="12"/>
  <c r="FB26" i="12"/>
  <c r="EZ26" i="12"/>
  <c r="EX26" i="12"/>
  <c r="EV26" i="12"/>
  <c r="ET26" i="12"/>
  <c r="ER26" i="12"/>
  <c r="EP26" i="12"/>
  <c r="EN26" i="12"/>
  <c r="EL26" i="12"/>
  <c r="EJ26" i="12"/>
  <c r="EH26" i="12"/>
  <c r="EF26" i="12"/>
  <c r="ED26" i="12"/>
  <c r="EB26" i="12"/>
  <c r="DZ26" i="12"/>
  <c r="DX26" i="12"/>
  <c r="DV26" i="12"/>
  <c r="DT26" i="12"/>
  <c r="DR26" i="12"/>
  <c r="DP26" i="12"/>
  <c r="DN26" i="12"/>
  <c r="DE26" i="12"/>
  <c r="DC26" i="12"/>
  <c r="DA26" i="12"/>
  <c r="CY26" i="12"/>
  <c r="CW26" i="12"/>
  <c r="CU26" i="12"/>
  <c r="CS26" i="12"/>
  <c r="CQ26" i="12"/>
  <c r="CO26" i="12"/>
  <c r="CM26" i="12"/>
  <c r="CK26" i="12"/>
  <c r="CI26" i="12"/>
  <c r="CG26" i="12"/>
  <c r="CE26" i="12"/>
  <c r="CC26" i="12"/>
  <c r="CA26" i="12"/>
  <c r="BY26" i="12"/>
  <c r="BW26" i="12"/>
  <c r="BU26" i="12"/>
  <c r="BS26" i="12"/>
  <c r="BQ26" i="12"/>
  <c r="BO26" i="12"/>
  <c r="BM26" i="12"/>
  <c r="BK26" i="12"/>
  <c r="BB26" i="12"/>
  <c r="AZ26" i="12"/>
  <c r="AX26" i="12"/>
  <c r="AV26" i="12"/>
  <c r="AT26" i="12"/>
  <c r="AR26" i="12"/>
  <c r="AP26" i="12"/>
  <c r="AN26" i="12"/>
  <c r="AL26" i="12"/>
  <c r="AJ26" i="12"/>
  <c r="AH26" i="12"/>
  <c r="AF26" i="12"/>
  <c r="AD26" i="12"/>
  <c r="AB26" i="12"/>
  <c r="Z26" i="12"/>
  <c r="X26" i="12"/>
  <c r="V26" i="12"/>
  <c r="T26" i="12"/>
  <c r="R26" i="12"/>
  <c r="P26" i="12"/>
  <c r="N26" i="12"/>
  <c r="L26" i="12"/>
  <c r="J26" i="12"/>
  <c r="H26" i="12"/>
  <c r="FU14" i="12"/>
  <c r="FR14" i="12"/>
  <c r="FH14" i="12"/>
  <c r="FF14" i="12"/>
  <c r="FD14" i="12"/>
  <c r="FB14" i="12"/>
  <c r="EZ14" i="12"/>
  <c r="EX14" i="12"/>
  <c r="EV14" i="12"/>
  <c r="ET14" i="12"/>
  <c r="ER14" i="12"/>
  <c r="EP14" i="12"/>
  <c r="EN14" i="12"/>
  <c r="EL14" i="12"/>
  <c r="EJ14" i="12"/>
  <c r="EH14" i="12"/>
  <c r="EF14" i="12"/>
  <c r="ED14" i="12"/>
  <c r="EB14" i="12"/>
  <c r="DZ14" i="12"/>
  <c r="DX14" i="12"/>
  <c r="DV14" i="12"/>
  <c r="DT14" i="12"/>
  <c r="DR14" i="12"/>
  <c r="DP14" i="12"/>
  <c r="DN14" i="12"/>
  <c r="DE14" i="12"/>
  <c r="DC14" i="12"/>
  <c r="DA14" i="12"/>
  <c r="CY14" i="12"/>
  <c r="CW14" i="12"/>
  <c r="CU14" i="12"/>
  <c r="CS14" i="12"/>
  <c r="CQ14" i="12"/>
  <c r="CO14" i="12"/>
  <c r="CM14" i="12"/>
  <c r="CK14" i="12"/>
  <c r="CI14" i="12"/>
  <c r="CG14" i="12"/>
  <c r="CE14" i="12"/>
  <c r="CC14" i="12"/>
  <c r="CA14" i="12"/>
  <c r="BY14" i="12"/>
  <c r="BW14" i="12"/>
  <c r="BU14" i="12"/>
  <c r="BS14" i="12"/>
  <c r="BQ14" i="12"/>
  <c r="BO14" i="12"/>
  <c r="BM14" i="12"/>
  <c r="BK14" i="12"/>
  <c r="BB14" i="12"/>
  <c r="AZ14" i="12"/>
  <c r="AX14" i="12"/>
  <c r="AV14" i="12"/>
  <c r="AT14" i="12"/>
  <c r="AR14" i="12"/>
  <c r="AP14" i="12"/>
  <c r="AN14" i="12"/>
  <c r="AL14" i="12"/>
  <c r="AJ14" i="12"/>
  <c r="AH14" i="12"/>
  <c r="AF14" i="12"/>
  <c r="AD14" i="12"/>
  <c r="AB14" i="12"/>
  <c r="Z14" i="12"/>
  <c r="X14" i="12"/>
  <c r="V14" i="12"/>
  <c r="T14" i="12"/>
  <c r="R14" i="12"/>
  <c r="P14" i="12"/>
  <c r="N14" i="12"/>
  <c r="L14" i="12"/>
  <c r="J14" i="12"/>
  <c r="H14" i="12"/>
  <c r="FE1" i="12"/>
  <c r="DB1" i="12"/>
  <c r="FU19" i="11"/>
  <c r="FR19" i="11"/>
  <c r="FH19" i="11"/>
  <c r="FF19" i="11"/>
  <c r="FD19" i="11"/>
  <c r="FB19" i="11"/>
  <c r="EZ19" i="11"/>
  <c r="EX19" i="11"/>
  <c r="EV19" i="11"/>
  <c r="ET19" i="11"/>
  <c r="ER19" i="11"/>
  <c r="EP19" i="11"/>
  <c r="EN19" i="11"/>
  <c r="EL19" i="11"/>
  <c r="EJ19" i="11"/>
  <c r="EH19" i="11"/>
  <c r="EF19" i="11"/>
  <c r="ED19" i="11"/>
  <c r="EB19" i="11"/>
  <c r="DZ19" i="11"/>
  <c r="DX19" i="11"/>
  <c r="DV19" i="11"/>
  <c r="DT19" i="11"/>
  <c r="DR19" i="11"/>
  <c r="DP19" i="11"/>
  <c r="DN19" i="11"/>
  <c r="DE19" i="11"/>
  <c r="DC19" i="11"/>
  <c r="DA19" i="11"/>
  <c r="CY19" i="11"/>
  <c r="CW19" i="11"/>
  <c r="CU19" i="11"/>
  <c r="CS19" i="11"/>
  <c r="CQ19" i="11"/>
  <c r="CO19" i="11"/>
  <c r="CM19" i="11"/>
  <c r="CK19" i="11"/>
  <c r="CI19" i="11"/>
  <c r="CG19" i="11"/>
  <c r="CE19" i="11"/>
  <c r="CC19" i="11"/>
  <c r="CA19" i="11"/>
  <c r="BY19" i="11"/>
  <c r="BW19" i="11"/>
  <c r="BU19" i="11"/>
  <c r="BS19" i="11"/>
  <c r="BQ19" i="11"/>
  <c r="BO19" i="11"/>
  <c r="BM19" i="11"/>
  <c r="BK19" i="11"/>
  <c r="BB19" i="11"/>
  <c r="AZ19" i="11"/>
  <c r="AX19" i="11"/>
  <c r="AV19" i="11"/>
  <c r="AT19" i="11"/>
  <c r="AR19" i="11"/>
  <c r="AP19" i="11"/>
  <c r="AN19" i="11"/>
  <c r="AL19" i="11"/>
  <c r="AJ19" i="11"/>
  <c r="AH19" i="11"/>
  <c r="AF19" i="11"/>
  <c r="AD19" i="11"/>
  <c r="AB19" i="11"/>
  <c r="Z19" i="11"/>
  <c r="X19" i="11"/>
  <c r="V19" i="11"/>
  <c r="T19" i="11"/>
  <c r="R19" i="11"/>
  <c r="P19" i="11"/>
  <c r="N19" i="11"/>
  <c r="L19" i="11"/>
  <c r="J19" i="11"/>
  <c r="H19" i="11"/>
  <c r="FU18" i="11"/>
  <c r="FR18" i="11"/>
  <c r="FH18" i="11"/>
  <c r="FF18" i="11"/>
  <c r="FD18" i="11"/>
  <c r="FB18" i="11"/>
  <c r="EZ18" i="11"/>
  <c r="EX18" i="11"/>
  <c r="EV18" i="11"/>
  <c r="ET18" i="11"/>
  <c r="ER18" i="11"/>
  <c r="EP18" i="11"/>
  <c r="EN18" i="11"/>
  <c r="EL18" i="11"/>
  <c r="EJ18" i="11"/>
  <c r="EH18" i="11"/>
  <c r="EF18" i="11"/>
  <c r="ED18" i="11"/>
  <c r="EB18" i="11"/>
  <c r="DZ18" i="11"/>
  <c r="DX18" i="11"/>
  <c r="DV18" i="11"/>
  <c r="DT18" i="11"/>
  <c r="DR18" i="11"/>
  <c r="DP18" i="11"/>
  <c r="DN18" i="11"/>
  <c r="DE18" i="11"/>
  <c r="DC18" i="11"/>
  <c r="DA18" i="11"/>
  <c r="CY18" i="11"/>
  <c r="CW18" i="11"/>
  <c r="CU18" i="11"/>
  <c r="CS18" i="11"/>
  <c r="CQ18" i="11"/>
  <c r="CO18" i="11"/>
  <c r="CM18" i="11"/>
  <c r="CK18" i="11"/>
  <c r="CI18" i="11"/>
  <c r="CG18" i="11"/>
  <c r="CE18" i="11"/>
  <c r="CC18" i="11"/>
  <c r="CA18" i="11"/>
  <c r="BY18" i="11"/>
  <c r="BW18" i="11"/>
  <c r="BU18" i="11"/>
  <c r="BS18" i="11"/>
  <c r="BQ18" i="11"/>
  <c r="BO18" i="11"/>
  <c r="BM18" i="11"/>
  <c r="BK18" i="11"/>
  <c r="BB18" i="11"/>
  <c r="AZ18" i="11"/>
  <c r="AX18" i="11"/>
  <c r="AV18" i="11"/>
  <c r="AT18" i="11"/>
  <c r="AR18" i="11"/>
  <c r="AP18" i="11"/>
  <c r="AN18" i="11"/>
  <c r="AL18" i="11"/>
  <c r="AJ18" i="11"/>
  <c r="AH18" i="11"/>
  <c r="AF18" i="11"/>
  <c r="AD18" i="11"/>
  <c r="AB18" i="11"/>
  <c r="Z18" i="11"/>
  <c r="X18" i="11"/>
  <c r="V18" i="11"/>
  <c r="T18" i="11"/>
  <c r="R18" i="11"/>
  <c r="P18" i="11"/>
  <c r="N18" i="11"/>
  <c r="L18" i="11"/>
  <c r="J18" i="11"/>
  <c r="H18" i="11"/>
  <c r="FU17" i="11"/>
  <c r="FR17" i="11"/>
  <c r="FH17" i="11"/>
  <c r="FF17" i="11"/>
  <c r="FD17" i="11"/>
  <c r="FB17" i="11"/>
  <c r="EZ17" i="11"/>
  <c r="EX17" i="11"/>
  <c r="EV17" i="11"/>
  <c r="ET17" i="11"/>
  <c r="ER17" i="11"/>
  <c r="EP17" i="11"/>
  <c r="EN17" i="11"/>
  <c r="EL17" i="11"/>
  <c r="EJ17" i="11"/>
  <c r="EH17" i="11"/>
  <c r="EF17" i="11"/>
  <c r="ED17" i="11"/>
  <c r="EB17" i="11"/>
  <c r="DZ17" i="11"/>
  <c r="DX17" i="11"/>
  <c r="DV17" i="11"/>
  <c r="DT17" i="11"/>
  <c r="DR17" i="11"/>
  <c r="DP17" i="11"/>
  <c r="DN17" i="11"/>
  <c r="DE17" i="11"/>
  <c r="DC17" i="11"/>
  <c r="DA17" i="11"/>
  <c r="CY17" i="11"/>
  <c r="CW17" i="11"/>
  <c r="CU17" i="11"/>
  <c r="CS17" i="11"/>
  <c r="CQ17" i="11"/>
  <c r="CO17" i="11"/>
  <c r="CM17" i="11"/>
  <c r="CK17" i="11"/>
  <c r="CI17" i="11"/>
  <c r="CG17" i="11"/>
  <c r="CE17" i="11"/>
  <c r="CC17" i="11"/>
  <c r="CA17" i="11"/>
  <c r="BY17" i="11"/>
  <c r="BW17" i="11"/>
  <c r="BU17" i="11"/>
  <c r="BS17" i="11"/>
  <c r="BQ17" i="11"/>
  <c r="BO17" i="11"/>
  <c r="BM17" i="11"/>
  <c r="BK17" i="11"/>
  <c r="BB17" i="11"/>
  <c r="AZ17" i="11"/>
  <c r="AX17" i="11"/>
  <c r="AV17" i="11"/>
  <c r="AT17" i="11"/>
  <c r="AR17" i="11"/>
  <c r="AP17" i="11"/>
  <c r="AN17" i="11"/>
  <c r="AL17" i="11"/>
  <c r="AJ17" i="11"/>
  <c r="AH17" i="11"/>
  <c r="AF17" i="11"/>
  <c r="AD17" i="11"/>
  <c r="AB17" i="11"/>
  <c r="Z17" i="11"/>
  <c r="X17" i="11"/>
  <c r="V17" i="11"/>
  <c r="T17" i="11"/>
  <c r="R17" i="11"/>
  <c r="P17" i="11"/>
  <c r="N17" i="11"/>
  <c r="L17" i="11"/>
  <c r="J17" i="11"/>
  <c r="H17" i="11"/>
  <c r="FH10" i="11"/>
  <c r="FF10" i="11"/>
  <c r="FD10" i="11"/>
  <c r="FB10" i="11"/>
  <c r="EZ10" i="11"/>
  <c r="EX10" i="11"/>
  <c r="EV10" i="11"/>
  <c r="ET10" i="11"/>
  <c r="ER10" i="11"/>
  <c r="EP10" i="11"/>
  <c r="EN10" i="11"/>
  <c r="EL10" i="11"/>
  <c r="EJ10" i="11"/>
  <c r="EH10" i="11"/>
  <c r="EF10" i="11"/>
  <c r="ED10" i="11"/>
  <c r="EB10" i="11"/>
  <c r="DZ10" i="11"/>
  <c r="DX10" i="11"/>
  <c r="DV10" i="11"/>
  <c r="DT10" i="11"/>
  <c r="DR10" i="11"/>
  <c r="DP10" i="11"/>
  <c r="DN10" i="11"/>
  <c r="DE10" i="11"/>
  <c r="DC10" i="11"/>
  <c r="DA10" i="11"/>
  <c r="CY10" i="11"/>
  <c r="CW10" i="11"/>
  <c r="CU10" i="11"/>
  <c r="CS10" i="11"/>
  <c r="CQ10" i="11"/>
  <c r="CO10" i="11"/>
  <c r="CM10" i="11"/>
  <c r="CK10" i="11"/>
  <c r="CI10" i="11"/>
  <c r="CG10" i="11"/>
  <c r="CE10" i="11"/>
  <c r="CC10" i="11"/>
  <c r="CA10" i="11"/>
  <c r="BY10" i="11"/>
  <c r="BW10" i="11"/>
  <c r="BU10" i="11"/>
  <c r="BS10" i="11"/>
  <c r="BQ10" i="11"/>
  <c r="BO10" i="11"/>
  <c r="BM10" i="11"/>
  <c r="BK10" i="11"/>
  <c r="BB10" i="11"/>
  <c r="AZ10" i="11"/>
  <c r="AX10" i="11"/>
  <c r="AV10" i="11"/>
  <c r="AT10" i="11"/>
  <c r="AR10" i="11"/>
  <c r="AP10" i="11"/>
  <c r="AN10" i="11"/>
  <c r="AL10" i="11"/>
  <c r="AJ10" i="11"/>
  <c r="AH10" i="11"/>
  <c r="AF10" i="11"/>
  <c r="AD10" i="11"/>
  <c r="AB10" i="11"/>
  <c r="Z10" i="11"/>
  <c r="X10" i="11"/>
  <c r="V10" i="11"/>
  <c r="T10" i="11"/>
  <c r="R10" i="11"/>
  <c r="P10" i="11"/>
  <c r="N10" i="11"/>
  <c r="L10" i="11"/>
  <c r="J10" i="11"/>
  <c r="H10" i="11"/>
  <c r="D10" i="11"/>
  <c r="FU16" i="11"/>
  <c r="FR16" i="11"/>
  <c r="FH16" i="11"/>
  <c r="FF16" i="11"/>
  <c r="FD16" i="11"/>
  <c r="FB16" i="11"/>
  <c r="EZ16" i="11"/>
  <c r="EX16" i="11"/>
  <c r="EV16" i="11"/>
  <c r="ET16" i="11"/>
  <c r="ER16" i="11"/>
  <c r="EP16" i="11"/>
  <c r="EN16" i="11"/>
  <c r="EL16" i="11"/>
  <c r="EJ16" i="11"/>
  <c r="EH16" i="11"/>
  <c r="EF16" i="11"/>
  <c r="ED16" i="11"/>
  <c r="EB16" i="11"/>
  <c r="DZ16" i="11"/>
  <c r="DX16" i="11"/>
  <c r="DV16" i="11"/>
  <c r="DT16" i="11"/>
  <c r="DR16" i="11"/>
  <c r="DP16" i="11"/>
  <c r="DN16" i="11"/>
  <c r="DE16" i="11"/>
  <c r="DC16" i="11"/>
  <c r="DA16" i="11"/>
  <c r="CY16" i="11"/>
  <c r="CW16" i="11"/>
  <c r="CU16" i="11"/>
  <c r="CS16" i="11"/>
  <c r="CQ16" i="11"/>
  <c r="CO16" i="11"/>
  <c r="CM16" i="11"/>
  <c r="CK16" i="11"/>
  <c r="CI16" i="11"/>
  <c r="CG16" i="11"/>
  <c r="CE16" i="11"/>
  <c r="CC16" i="11"/>
  <c r="CA16" i="11"/>
  <c r="BY16" i="11"/>
  <c r="BW16" i="11"/>
  <c r="BU16" i="11"/>
  <c r="BS16" i="11"/>
  <c r="BQ16" i="11"/>
  <c r="BO16" i="11"/>
  <c r="BM16" i="11"/>
  <c r="BK16" i="11"/>
  <c r="BB16" i="11"/>
  <c r="AZ16" i="11"/>
  <c r="AX16" i="11"/>
  <c r="AV16" i="11"/>
  <c r="AT16" i="11"/>
  <c r="AR16" i="11"/>
  <c r="AP16" i="11"/>
  <c r="AN16" i="11"/>
  <c r="AL16" i="11"/>
  <c r="AJ16" i="11"/>
  <c r="AH16" i="11"/>
  <c r="AF16" i="11"/>
  <c r="AD16" i="11"/>
  <c r="AB16" i="11"/>
  <c r="Z16" i="11"/>
  <c r="X16" i="11"/>
  <c r="V16" i="11"/>
  <c r="T16" i="11"/>
  <c r="R16" i="11"/>
  <c r="P16" i="11"/>
  <c r="N16" i="11"/>
  <c r="L16" i="11"/>
  <c r="J16" i="11"/>
  <c r="H16" i="11"/>
  <c r="DM68" i="11"/>
  <c r="BJ68" i="11"/>
  <c r="FU26" i="11"/>
  <c r="FR26" i="11"/>
  <c r="FH26" i="11"/>
  <c r="FF26" i="11"/>
  <c r="FD26" i="11"/>
  <c r="FB26" i="11"/>
  <c r="EZ26" i="11"/>
  <c r="EX26" i="11"/>
  <c r="EV26" i="11"/>
  <c r="ET26" i="11"/>
  <c r="ER26" i="11"/>
  <c r="EP26" i="11"/>
  <c r="EN26" i="11"/>
  <c r="EL26" i="11"/>
  <c r="EJ26" i="11"/>
  <c r="EH26" i="11"/>
  <c r="EF26" i="11"/>
  <c r="ED26" i="11"/>
  <c r="EB26" i="11"/>
  <c r="DZ26" i="11"/>
  <c r="DX26" i="11"/>
  <c r="DV26" i="11"/>
  <c r="DT26" i="11"/>
  <c r="DR26" i="11"/>
  <c r="DP26" i="11"/>
  <c r="DN26" i="11"/>
  <c r="DE26" i="11"/>
  <c r="DC26" i="11"/>
  <c r="DA26" i="11"/>
  <c r="CY26" i="11"/>
  <c r="CW26" i="11"/>
  <c r="CU26" i="11"/>
  <c r="CS26" i="11"/>
  <c r="CQ26" i="11"/>
  <c r="CO26" i="11"/>
  <c r="CM26" i="11"/>
  <c r="CK26" i="11"/>
  <c r="CI26" i="11"/>
  <c r="CG26" i="11"/>
  <c r="CE26" i="11"/>
  <c r="CC26" i="11"/>
  <c r="CA26" i="11"/>
  <c r="BY26" i="11"/>
  <c r="BW26" i="11"/>
  <c r="BU26" i="11"/>
  <c r="BS26" i="11"/>
  <c r="BQ26" i="11"/>
  <c r="BO26" i="11"/>
  <c r="BM26" i="11"/>
  <c r="BK26" i="11"/>
  <c r="BB26" i="11"/>
  <c r="AZ26" i="11"/>
  <c r="AX26" i="11"/>
  <c r="AV26" i="11"/>
  <c r="AT26" i="11"/>
  <c r="AR26" i="11"/>
  <c r="AP26" i="11"/>
  <c r="AN26" i="11"/>
  <c r="AL26" i="11"/>
  <c r="AJ26" i="11"/>
  <c r="AH26" i="11"/>
  <c r="AF26" i="11"/>
  <c r="AD26" i="11"/>
  <c r="AB26" i="11"/>
  <c r="Z26" i="11"/>
  <c r="X26" i="11"/>
  <c r="V26" i="11"/>
  <c r="T26" i="11"/>
  <c r="R26" i="11"/>
  <c r="P26" i="11"/>
  <c r="N26" i="11"/>
  <c r="L26" i="11"/>
  <c r="J26" i="11"/>
  <c r="H26" i="11"/>
  <c r="FU14" i="11"/>
  <c r="FR14" i="11"/>
  <c r="FH14" i="11"/>
  <c r="FF14" i="11"/>
  <c r="FD14" i="11"/>
  <c r="FB14" i="11"/>
  <c r="EZ14" i="11"/>
  <c r="EX14" i="11"/>
  <c r="EV14" i="11"/>
  <c r="ET14" i="11"/>
  <c r="ER14" i="11"/>
  <c r="EP14" i="11"/>
  <c r="EN14" i="11"/>
  <c r="EL14" i="11"/>
  <c r="EJ14" i="11"/>
  <c r="EH14" i="11"/>
  <c r="EF14" i="11"/>
  <c r="ED14" i="11"/>
  <c r="EB14" i="11"/>
  <c r="DZ14" i="11"/>
  <c r="DX14" i="11"/>
  <c r="DV14" i="11"/>
  <c r="DT14" i="11"/>
  <c r="DR14" i="11"/>
  <c r="DP14" i="11"/>
  <c r="DN14" i="11"/>
  <c r="DE14" i="11"/>
  <c r="DC14" i="11"/>
  <c r="DA14" i="11"/>
  <c r="CY14" i="11"/>
  <c r="CW14" i="11"/>
  <c r="CU14" i="11"/>
  <c r="CS14" i="11"/>
  <c r="CQ14" i="11"/>
  <c r="CO14" i="11"/>
  <c r="CM14" i="11"/>
  <c r="CK14" i="11"/>
  <c r="CI14" i="11"/>
  <c r="CG14" i="11"/>
  <c r="CE14" i="11"/>
  <c r="CC14" i="11"/>
  <c r="CA14" i="11"/>
  <c r="BY14" i="11"/>
  <c r="BW14" i="11"/>
  <c r="BU14" i="11"/>
  <c r="BS14" i="11"/>
  <c r="BQ14" i="11"/>
  <c r="BO14" i="11"/>
  <c r="BM14" i="11"/>
  <c r="BK14" i="11"/>
  <c r="BB14" i="11"/>
  <c r="AZ14" i="11"/>
  <c r="AX14" i="11"/>
  <c r="AV14" i="11"/>
  <c r="AT14" i="11"/>
  <c r="AR14" i="11"/>
  <c r="AP14" i="11"/>
  <c r="AN14" i="11"/>
  <c r="AL14" i="11"/>
  <c r="AJ14" i="11"/>
  <c r="AH14" i="11"/>
  <c r="AF14" i="11"/>
  <c r="AD14" i="11"/>
  <c r="AB14" i="11"/>
  <c r="Z14" i="11"/>
  <c r="X14" i="11"/>
  <c r="V14" i="11"/>
  <c r="T14" i="11"/>
  <c r="R14" i="11"/>
  <c r="P14" i="11"/>
  <c r="N14" i="11"/>
  <c r="L14" i="11"/>
  <c r="J14" i="11"/>
  <c r="H14" i="11"/>
  <c r="FE1" i="11"/>
  <c r="DB1" i="11"/>
  <c r="C67" i="4"/>
  <c r="E67" i="4" s="1"/>
  <c r="G67" i="4" s="1"/>
  <c r="I67" i="4" s="1"/>
  <c r="K67" i="4" s="1"/>
  <c r="M67" i="4" s="1"/>
  <c r="C66" i="4"/>
  <c r="E66" i="4" s="1"/>
  <c r="G66" i="4" s="1"/>
  <c r="I66" i="4" s="1"/>
  <c r="K66" i="4" s="1"/>
  <c r="M66" i="4" s="1"/>
  <c r="C65" i="4"/>
  <c r="E65" i="4" s="1"/>
  <c r="G65" i="4" s="1"/>
  <c r="I65" i="4" s="1"/>
  <c r="K65" i="4" s="1"/>
  <c r="M65" i="4" s="1"/>
  <c r="C64" i="4"/>
  <c r="E64" i="4" s="1"/>
  <c r="G64" i="4" s="1"/>
  <c r="I64" i="4" s="1"/>
  <c r="K64" i="4" s="1"/>
  <c r="M64" i="4" s="1"/>
  <c r="C63" i="4"/>
  <c r="E63" i="4" s="1"/>
  <c r="G63" i="4" s="1"/>
  <c r="I63" i="4" s="1"/>
  <c r="K63" i="4" s="1"/>
  <c r="M63" i="4" s="1"/>
  <c r="C62" i="4"/>
  <c r="E62" i="4" s="1"/>
  <c r="G62" i="4" s="1"/>
  <c r="I62" i="4" s="1"/>
  <c r="K62" i="4" s="1"/>
  <c r="M62" i="4" s="1"/>
  <c r="C61" i="4"/>
  <c r="E61" i="4" s="1"/>
  <c r="G61" i="4" s="1"/>
  <c r="I61" i="4" s="1"/>
  <c r="K61" i="4" s="1"/>
  <c r="M61" i="4" s="1"/>
  <c r="C60" i="4"/>
  <c r="E60" i="4" s="1"/>
  <c r="G60" i="4" s="1"/>
  <c r="I60" i="4" s="1"/>
  <c r="K60" i="4" s="1"/>
  <c r="M60" i="4" s="1"/>
  <c r="C59" i="4"/>
  <c r="E59" i="4" s="1"/>
  <c r="G59" i="4" s="1"/>
  <c r="I59" i="4" s="1"/>
  <c r="K59" i="4" s="1"/>
  <c r="M59" i="4" s="1"/>
  <c r="C58" i="4"/>
  <c r="E58" i="4" s="1"/>
  <c r="G58" i="4" s="1"/>
  <c r="I58" i="4" s="1"/>
  <c r="K58" i="4" s="1"/>
  <c r="M58" i="4" s="1"/>
  <c r="C57" i="4"/>
  <c r="E57" i="4" s="1"/>
  <c r="G57" i="4" s="1"/>
  <c r="I57" i="4" s="1"/>
  <c r="K57" i="4" s="1"/>
  <c r="M57" i="4" s="1"/>
  <c r="C56" i="4"/>
  <c r="E56" i="4" s="1"/>
  <c r="G56" i="4" s="1"/>
  <c r="I56" i="4" s="1"/>
  <c r="K56" i="4" s="1"/>
  <c r="M56" i="4" s="1"/>
  <c r="C55" i="4"/>
  <c r="E55" i="4" s="1"/>
  <c r="G55" i="4" s="1"/>
  <c r="I55" i="4" s="1"/>
  <c r="K55" i="4" s="1"/>
  <c r="M55" i="4" s="1"/>
  <c r="C54" i="4"/>
  <c r="E54" i="4" s="1"/>
  <c r="G54" i="4" s="1"/>
  <c r="I54" i="4" s="1"/>
  <c r="K54" i="4" s="1"/>
  <c r="M54" i="4" s="1"/>
  <c r="C53" i="4"/>
  <c r="E53" i="4" s="1"/>
  <c r="G53" i="4" s="1"/>
  <c r="I53" i="4" s="1"/>
  <c r="K53" i="4" s="1"/>
  <c r="M53" i="4" s="1"/>
  <c r="C52" i="4"/>
  <c r="E52" i="4" s="1"/>
  <c r="G52" i="4" s="1"/>
  <c r="I52" i="4" s="1"/>
  <c r="K52" i="4" s="1"/>
  <c r="M52" i="4" s="1"/>
  <c r="C51" i="4"/>
  <c r="E51" i="4" s="1"/>
  <c r="G51" i="4" s="1"/>
  <c r="I51" i="4" s="1"/>
  <c r="K51" i="4" s="1"/>
  <c r="M51" i="4" s="1"/>
  <c r="C50" i="4"/>
  <c r="E50" i="4" s="1"/>
  <c r="G50" i="4" s="1"/>
  <c r="I50" i="4" s="1"/>
  <c r="K50" i="4" s="1"/>
  <c r="M50" i="4" s="1"/>
  <c r="C49" i="4"/>
  <c r="E49" i="4" s="1"/>
  <c r="G49" i="4" s="1"/>
  <c r="I49" i="4" s="1"/>
  <c r="K49" i="4" s="1"/>
  <c r="M49" i="4" s="1"/>
  <c r="C48" i="4"/>
  <c r="E48" i="4" s="1"/>
  <c r="G48" i="4" s="1"/>
  <c r="I48" i="4" s="1"/>
  <c r="K48" i="4" s="1"/>
  <c r="M48" i="4" s="1"/>
  <c r="C47" i="4"/>
  <c r="E47" i="4" s="1"/>
  <c r="G47" i="4" s="1"/>
  <c r="I47" i="4" s="1"/>
  <c r="K47" i="4" s="1"/>
  <c r="M47" i="4" s="1"/>
  <c r="C46" i="4"/>
  <c r="E46" i="4" s="1"/>
  <c r="G46" i="4" s="1"/>
  <c r="I46" i="4" s="1"/>
  <c r="K46" i="4" s="1"/>
  <c r="M46" i="4" s="1"/>
  <c r="C45" i="4"/>
  <c r="E45" i="4" s="1"/>
  <c r="G45" i="4" s="1"/>
  <c r="I45" i="4" s="1"/>
  <c r="K45" i="4" s="1"/>
  <c r="M45" i="4" s="1"/>
  <c r="C44" i="4"/>
  <c r="E44" i="4" s="1"/>
  <c r="G44" i="4" s="1"/>
  <c r="I44" i="4" s="1"/>
  <c r="K44" i="4" s="1"/>
  <c r="M44" i="4" s="1"/>
  <c r="V26" i="15" l="1"/>
  <c r="AL26" i="15"/>
  <c r="BB26" i="15"/>
  <c r="BY26" i="15"/>
  <c r="CO26" i="15"/>
  <c r="DE26" i="15"/>
  <c r="EB26" i="15"/>
  <c r="ER26" i="15"/>
  <c r="FH26" i="15"/>
  <c r="FY54" i="18" l="1"/>
  <c r="GA54" i="20" l="1"/>
  <c r="GE54" i="19"/>
  <c r="GA54" i="18"/>
  <c r="GE54" i="16"/>
  <c r="GA54" i="15"/>
  <c r="FW54" i="14"/>
  <c r="GA54" i="14"/>
  <c r="FY54" i="14"/>
  <c r="GA54" i="13"/>
  <c r="FW54" i="13"/>
  <c r="GE54" i="13"/>
  <c r="FY54" i="13"/>
  <c r="GA54" i="12"/>
  <c r="FY54" i="12"/>
  <c r="GA54" i="11"/>
  <c r="FY54" i="11"/>
  <c r="GE54" i="21" l="1"/>
  <c r="GE54" i="20"/>
  <c r="FY54" i="20"/>
  <c r="GE54" i="18"/>
  <c r="FW54" i="18"/>
  <c r="GC54" i="18"/>
  <c r="FY54" i="17"/>
  <c r="GA54" i="17"/>
  <c r="GE54" i="17"/>
  <c r="FY54" i="16"/>
  <c r="GA54" i="16"/>
  <c r="FW54" i="15"/>
  <c r="GE54" i="15"/>
  <c r="FY54" i="15"/>
  <c r="GC54" i="14"/>
  <c r="GE54" i="14"/>
  <c r="GC54" i="13"/>
  <c r="FW54" i="12"/>
  <c r="GC54" i="12"/>
  <c r="GE54" i="12"/>
  <c r="GC54" i="11"/>
  <c r="FW54" i="11"/>
  <c r="GE54" i="11"/>
  <c r="GA54" i="21" l="1"/>
  <c r="FY54" i="21"/>
  <c r="FW54" i="21"/>
  <c r="GC54" i="20"/>
  <c r="FW54" i="20"/>
  <c r="FY54" i="19"/>
  <c r="GA54" i="19"/>
  <c r="FW54" i="17"/>
  <c r="GC54" i="17"/>
  <c r="GC54" i="16"/>
  <c r="FW54" i="16"/>
  <c r="GC54" i="15"/>
  <c r="GC54" i="21" l="1"/>
  <c r="FW54" i="19"/>
  <c r="GC54" i="19"/>
</calcChain>
</file>

<file path=xl/comments1.xml><?xml version="1.0" encoding="utf-8"?>
<comments xmlns="http://schemas.openxmlformats.org/spreadsheetml/2006/main">
  <authors>
    <author>Bohra Staff</author>
  </authors>
  <commentList>
    <comment ref="N4" authorId="0" shapeId="0">
      <text>
        <r>
          <rPr>
            <sz val="9"/>
            <color indexed="81"/>
            <rFont val="Meiryo UI"/>
            <family val="3"/>
            <charset val="128"/>
          </rPr>
          <t>乾球温度：33.70[℃]
相対湿度：56[％]
比エンタルピ：81.6[kJ/kg]
絶対湿度：0.0186[kg/kg]
湿球温度：26.2[℃]</t>
        </r>
      </text>
    </comment>
    <comment ref="N5" authorId="0" shapeId="0">
      <text>
        <r>
          <rPr>
            <sz val="9"/>
            <color indexed="81"/>
            <rFont val="Meiryo UI"/>
            <family val="3"/>
            <charset val="128"/>
          </rPr>
          <t>乾球温度：29.42[℃]
相対湿度：49[％]
比エンタルピ：61.7[kJ/kg]
絶対湿度：0.0126[kg/kg]
湿球温度：21.2[℃]</t>
        </r>
      </text>
    </comment>
    <comment ref="N7" authorId="0" shapeId="0">
      <text>
        <r>
          <rPr>
            <sz val="9"/>
            <color indexed="81"/>
            <rFont val="Meiryo UI"/>
            <family val="3"/>
            <charset val="128"/>
          </rPr>
          <t>乾球温度：15.64[℃]
相対湿度：90[％]
比エンタルピ：41.1[kJ/kg]
絶対湿度：0.0100[kg/kg]
湿球温度：14.6[℃]</t>
        </r>
      </text>
    </comment>
    <comment ref="N8" authorId="0" shapeId="0">
      <text>
        <r>
          <rPr>
            <sz val="9"/>
            <color indexed="81"/>
            <rFont val="Meiryo UI"/>
            <family val="3"/>
            <charset val="128"/>
          </rPr>
          <t>乾球温度：28.00[℃]
相対湿度：45[％]
比エンタルピ：55.1[kJ/kg]
絶対湿度：0.0106[kg/kg]
湿球温度：19.4[℃]</t>
        </r>
      </text>
    </comment>
    <comment ref="N10" authorId="0" shapeId="0">
      <text>
        <r>
          <rPr>
            <sz val="9"/>
            <color indexed="81"/>
            <rFont val="Meiryo UI"/>
            <family val="3"/>
            <charset val="128"/>
          </rPr>
          <t>乾球温度：2.00[℃]
相対湿度：32[％]
比エンタルピ：5.5[kJ/kg]
絶対湿度：0.0014[kg/kg]
湿球温度：-2.6[℃]</t>
        </r>
      </text>
    </comment>
    <comment ref="N11" authorId="0" shapeId="0">
      <text>
        <r>
          <rPr>
            <sz val="9"/>
            <color indexed="81"/>
            <rFont val="Meiryo UI"/>
            <family val="3"/>
            <charset val="128"/>
          </rPr>
          <t>乾球温度：14.75[℃]
相対湿度：43[％]
比エンタルピ：26.1[kJ/kg]
絶対湿度：0.0045[kg/kg]
湿球温度：8.6[℃]</t>
        </r>
      </text>
    </comment>
    <comment ref="N13" authorId="0" shapeId="0">
      <text>
        <r>
          <rPr>
            <sz val="9"/>
            <color indexed="81"/>
            <rFont val="Meiryo UI"/>
            <family val="3"/>
            <charset val="128"/>
          </rPr>
          <t>乾球温度：25.71[℃]
相対湿度：22[％]
比エンタルピ：37.2[kJ/kg]
絶対湿度：0.0045[kg/kg]
湿球温度：13.3[℃]</t>
        </r>
      </text>
    </comment>
    <comment ref="N14" authorId="0" shapeId="0">
      <text>
        <r>
          <rPr>
            <sz val="9"/>
            <color indexed="81"/>
            <rFont val="Meiryo UI"/>
            <family val="3"/>
            <charset val="128"/>
          </rPr>
          <t>乾球温度：23.21[℃]
相対湿度：31[％]
比エンタルピ：37.3[kJ/kg]
絶対湿度：0.0055[kg/kg]
湿球温度：13.3[℃]</t>
        </r>
      </text>
    </comment>
    <comment ref="N15" authorId="0" shapeId="0">
      <text>
        <r>
          <rPr>
            <sz val="9"/>
            <color indexed="81"/>
            <rFont val="Meiryo UI"/>
            <family val="3"/>
            <charset val="128"/>
          </rPr>
          <t>乾球温度：19.00[℃]
相対湿度：40[％]
比エンタルピ：33.0[kJ/kg]
絶対湿度：0.0055[kg/kg]
湿球温度：11.6[℃]</t>
        </r>
      </text>
    </comment>
  </commentList>
</comments>
</file>

<file path=xl/sharedStrings.xml><?xml version="1.0" encoding="utf-8"?>
<sst xmlns="http://schemas.openxmlformats.org/spreadsheetml/2006/main" count="21078" uniqueCount="932">
  <si>
    <t>負荷仕切紙</t>
  </si>
  <si>
    <t>計算用外界条件等</t>
  </si>
  <si>
    <t xml:space="preserve">  1.建物の位置、太陽位置などを示しています。</t>
  </si>
  <si>
    <t>位置情報・建物方位角など</t>
    <rPh sb="0" eb="2">
      <t>イチ</t>
    </rPh>
    <rPh sb="2" eb="4">
      <t>ジョウホウ</t>
    </rPh>
    <rPh sb="5" eb="7">
      <t>タテモノ</t>
    </rPh>
    <rPh sb="7" eb="9">
      <t>ホウイ</t>
    </rPh>
    <rPh sb="9" eb="10">
      <t>カク</t>
    </rPh>
    <phoneticPr fontId="9"/>
  </si>
  <si>
    <t>地点情報</t>
    <rPh sb="0" eb="2">
      <t>チテン</t>
    </rPh>
    <rPh sb="2" eb="4">
      <t>ジョウホウ</t>
    </rPh>
    <phoneticPr fontId="12"/>
  </si>
  <si>
    <t>斜面（壁面）方位角</t>
    <rPh sb="0" eb="2">
      <t>シャメン</t>
    </rPh>
    <rPh sb="3" eb="5">
      <t>ヘキメン</t>
    </rPh>
    <rPh sb="6" eb="8">
      <t>ホウイ</t>
    </rPh>
    <rPh sb="8" eb="9">
      <t>カク</t>
    </rPh>
    <phoneticPr fontId="12"/>
  </si>
  <si>
    <t>地点名称</t>
    <rPh sb="0" eb="2">
      <t>チテン</t>
    </rPh>
    <rPh sb="2" eb="4">
      <t>メイショウ</t>
    </rPh>
    <phoneticPr fontId="12"/>
  </si>
  <si>
    <t>緯度[°]</t>
    <rPh sb="0" eb="2">
      <t>イド</t>
    </rPh>
    <phoneticPr fontId="12"/>
  </si>
  <si>
    <t>経度[°]</t>
    <rPh sb="0" eb="2">
      <t>ケイド</t>
    </rPh>
    <phoneticPr fontId="12"/>
  </si>
  <si>
    <t>標準子午線経度[°]</t>
    <rPh sb="0" eb="2">
      <t>ヒョウジュン</t>
    </rPh>
    <rPh sb="2" eb="5">
      <t>シゴセン</t>
    </rPh>
    <rPh sb="5" eb="7">
      <t>ケイド</t>
    </rPh>
    <phoneticPr fontId="12"/>
  </si>
  <si>
    <t>斜面方位表示</t>
    <rPh sb="0" eb="2">
      <t>シャメン</t>
    </rPh>
    <rPh sb="2" eb="4">
      <t>ホウイ</t>
    </rPh>
    <rPh sb="4" eb="6">
      <t>ヒョウジ</t>
    </rPh>
    <phoneticPr fontId="12"/>
  </si>
  <si>
    <t>N</t>
    <phoneticPr fontId="12"/>
  </si>
  <si>
    <t>E</t>
    <phoneticPr fontId="12"/>
  </si>
  <si>
    <t>S</t>
    <phoneticPr fontId="12"/>
  </si>
  <si>
    <t>W</t>
    <phoneticPr fontId="12"/>
  </si>
  <si>
    <t>斜面方位角 α[°]</t>
    <rPh sb="0" eb="2">
      <t>シャメン</t>
    </rPh>
    <phoneticPr fontId="12"/>
  </si>
  <si>
    <t>太陽位置</t>
    <rPh sb="0" eb="2">
      <t>タイヨウ</t>
    </rPh>
    <rPh sb="2" eb="4">
      <t>イチ</t>
    </rPh>
    <phoneticPr fontId="12"/>
  </si>
  <si>
    <t>h-t基準</t>
    <phoneticPr fontId="12"/>
  </si>
  <si>
    <t>Jc-t基準</t>
    <phoneticPr fontId="12"/>
  </si>
  <si>
    <t>Js-t基準</t>
    <phoneticPr fontId="12"/>
  </si>
  <si>
    <t>太陽高度角 φ[°]</t>
    <rPh sb="4" eb="5">
      <t>カク</t>
    </rPh>
    <phoneticPr fontId="12"/>
  </si>
  <si>
    <t>太陽方位角 γ[°]</t>
    <phoneticPr fontId="12"/>
  </si>
  <si>
    <t>太陽方位角 γ[°]</t>
    <phoneticPr fontId="12"/>
  </si>
  <si>
    <t>東京</t>
  </si>
  <si>
    <t>太陽位置計算日 ： 8月1日</t>
  </si>
  <si>
    <t>太陽位置計算日 ： 9月15日</t>
  </si>
  <si>
    <t xml:space="preserve">  2.設計用外気温湿度、地中温度などを示しています。</t>
  </si>
  <si>
    <t>外気条件・地中温度</t>
    <rPh sb="2" eb="4">
      <t>ジョウケン</t>
    </rPh>
    <phoneticPr fontId="9"/>
  </si>
  <si>
    <t>参照地点名</t>
    <rPh sb="0" eb="2">
      <t>サンショウ</t>
    </rPh>
    <rPh sb="2" eb="4">
      <t>チテン</t>
    </rPh>
    <rPh sb="4" eb="5">
      <t>メイ</t>
    </rPh>
    <phoneticPr fontId="12"/>
  </si>
  <si>
    <t>冷房設計用外気条件</t>
    <rPh sb="0" eb="2">
      <t>レイボウ</t>
    </rPh>
    <rPh sb="2" eb="5">
      <t>セッケイヨウ</t>
    </rPh>
    <rPh sb="5" eb="7">
      <t>ガイキ</t>
    </rPh>
    <rPh sb="7" eb="9">
      <t>ジョウケン</t>
    </rPh>
    <phoneticPr fontId="12"/>
  </si>
  <si>
    <t>h-t基準</t>
    <phoneticPr fontId="12"/>
  </si>
  <si>
    <t>注記：下線部は8時-18時運転時の、太字は24時間運転時の空調機外気負荷設計用外気条件</t>
    <rPh sb="0" eb="2">
      <t>チュウキ</t>
    </rPh>
    <rPh sb="3" eb="6">
      <t>カセンブ</t>
    </rPh>
    <rPh sb="8" eb="9">
      <t>ジ</t>
    </rPh>
    <rPh sb="12" eb="13">
      <t>ジ</t>
    </rPh>
    <rPh sb="13" eb="15">
      <t>ウンテン</t>
    </rPh>
    <rPh sb="15" eb="16">
      <t>ジ</t>
    </rPh>
    <rPh sb="18" eb="20">
      <t>フトジ</t>
    </rPh>
    <rPh sb="23" eb="25">
      <t>ジカン</t>
    </rPh>
    <rPh sb="25" eb="27">
      <t>ウンテン</t>
    </rPh>
    <rPh sb="27" eb="28">
      <t>ジ</t>
    </rPh>
    <rPh sb="29" eb="32">
      <t>クウチョウキ</t>
    </rPh>
    <rPh sb="32" eb="34">
      <t>ガイキ</t>
    </rPh>
    <rPh sb="34" eb="36">
      <t>フカ</t>
    </rPh>
    <rPh sb="36" eb="39">
      <t>セッケイヨウ</t>
    </rPh>
    <rPh sb="39" eb="41">
      <t>ガイキ</t>
    </rPh>
    <rPh sb="41" eb="43">
      <t>ジョウケン</t>
    </rPh>
    <phoneticPr fontId="12"/>
  </si>
  <si>
    <t>乾球温度[℃]</t>
    <rPh sb="0" eb="2">
      <t>カンキュウ</t>
    </rPh>
    <rPh sb="2" eb="4">
      <t>オンド</t>
    </rPh>
    <phoneticPr fontId="12"/>
  </si>
  <si>
    <t>絶対湿度[g/kg]</t>
    <rPh sb="0" eb="2">
      <t>ゼッタイ</t>
    </rPh>
    <rPh sb="2" eb="4">
      <t>シツド</t>
    </rPh>
    <phoneticPr fontId="12"/>
  </si>
  <si>
    <t>比エンタルピ [kJ/kg]</t>
    <phoneticPr fontId="12"/>
  </si>
  <si>
    <t>Jc-t基準</t>
    <phoneticPr fontId="12"/>
  </si>
  <si>
    <t>Js-t基準</t>
    <phoneticPr fontId="12"/>
  </si>
  <si>
    <t>暖房設計用外気条件</t>
    <rPh sb="0" eb="2">
      <t>ダンボウ</t>
    </rPh>
    <rPh sb="2" eb="5">
      <t>セッケイヨウ</t>
    </rPh>
    <rPh sb="5" eb="7">
      <t>ガイキ</t>
    </rPh>
    <rPh sb="7" eb="9">
      <t>ジョウケン</t>
    </rPh>
    <phoneticPr fontId="12"/>
  </si>
  <si>
    <t>t-x基準</t>
    <phoneticPr fontId="5"/>
  </si>
  <si>
    <t>t-x基準</t>
    <phoneticPr fontId="12"/>
  </si>
  <si>
    <t>室負荷計算用外気条件</t>
    <rPh sb="0" eb="1">
      <t>シツ</t>
    </rPh>
    <rPh sb="1" eb="3">
      <t>フカ</t>
    </rPh>
    <rPh sb="3" eb="6">
      <t>ケイサンヨウ</t>
    </rPh>
    <rPh sb="6" eb="8">
      <t>ガイキ</t>
    </rPh>
    <rPh sb="8" eb="10">
      <t>ジョウケン</t>
    </rPh>
    <phoneticPr fontId="12"/>
  </si>
  <si>
    <t>左記外気条件を与える時刻における相当外気温度</t>
    <rPh sb="0" eb="2">
      <t>サキ</t>
    </rPh>
    <rPh sb="2" eb="4">
      <t>ガイキ</t>
    </rPh>
    <rPh sb="4" eb="6">
      <t>ジョウケン</t>
    </rPh>
    <rPh sb="7" eb="8">
      <t>アタ</t>
    </rPh>
    <rPh sb="10" eb="12">
      <t>ジコク</t>
    </rPh>
    <rPh sb="16" eb="18">
      <t>ソウトウ</t>
    </rPh>
    <rPh sb="18" eb="20">
      <t>ガイキ</t>
    </rPh>
    <rPh sb="20" eb="22">
      <t>オンド</t>
    </rPh>
    <phoneticPr fontId="12"/>
  </si>
  <si>
    <t>外気負荷設計用外気条件</t>
    <rPh sb="0" eb="2">
      <t>ガイキ</t>
    </rPh>
    <rPh sb="2" eb="4">
      <t>フカ</t>
    </rPh>
    <rPh sb="4" eb="7">
      <t>セッケイヨウ</t>
    </rPh>
    <rPh sb="7" eb="9">
      <t>ガイキ</t>
    </rPh>
    <rPh sb="9" eb="11">
      <t>ジョウケン</t>
    </rPh>
    <phoneticPr fontId="12"/>
  </si>
  <si>
    <t>9-18時用</t>
    <rPh sb="4" eb="5">
      <t>ジ</t>
    </rPh>
    <rPh sb="5" eb="6">
      <t>ヨウ</t>
    </rPh>
    <phoneticPr fontId="12"/>
  </si>
  <si>
    <t>24時間用</t>
    <rPh sb="2" eb="4">
      <t>ジカン</t>
    </rPh>
    <rPh sb="4" eb="5">
      <t>ヨウ</t>
    </rPh>
    <phoneticPr fontId="12"/>
  </si>
  <si>
    <t>上向き水平面</t>
    <rPh sb="0" eb="2">
      <t>ウエム</t>
    </rPh>
    <rPh sb="3" eb="6">
      <t>スイヘイメン</t>
    </rPh>
    <phoneticPr fontId="12"/>
  </si>
  <si>
    <t>垂直面</t>
    <rPh sb="0" eb="2">
      <t>スイチョク</t>
    </rPh>
    <rPh sb="2" eb="3">
      <t>メン</t>
    </rPh>
    <phoneticPr fontId="12"/>
  </si>
  <si>
    <t>下向き水平面</t>
    <rPh sb="0" eb="2">
      <t>シタム</t>
    </rPh>
    <rPh sb="3" eb="6">
      <t>スイヘイメン</t>
    </rPh>
    <phoneticPr fontId="12"/>
  </si>
  <si>
    <t>時刻</t>
    <rPh sb="0" eb="2">
      <t>ジコク</t>
    </rPh>
    <phoneticPr fontId="5"/>
  </si>
  <si>
    <t>時刻</t>
    <rPh sb="0" eb="2">
      <t>ジコク</t>
    </rPh>
    <phoneticPr fontId="12"/>
  </si>
  <si>
    <t>設計値</t>
    <rPh sb="0" eb="3">
      <t>セッケイチ</t>
    </rPh>
    <phoneticPr fontId="12"/>
  </si>
  <si>
    <t>比エンタルピ [kJ/kg]</t>
    <phoneticPr fontId="12"/>
  </si>
  <si>
    <t>t-Jh基準</t>
    <phoneticPr fontId="12"/>
  </si>
  <si>
    <t>注記</t>
    <rPh sb="0" eb="2">
      <t>チュウキ</t>
    </rPh>
    <phoneticPr fontId="12"/>
  </si>
  <si>
    <t>暖房設計用土間床、地中壁設計条件</t>
    <rPh sb="0" eb="2">
      <t>ダンボウ</t>
    </rPh>
    <rPh sb="2" eb="4">
      <t>セッケイ</t>
    </rPh>
    <rPh sb="4" eb="5">
      <t>ヨウ</t>
    </rPh>
    <rPh sb="5" eb="7">
      <t>ドマ</t>
    </rPh>
    <rPh sb="7" eb="8">
      <t>ユカ</t>
    </rPh>
    <rPh sb="9" eb="11">
      <t>チチュウ</t>
    </rPh>
    <rPh sb="11" eb="12">
      <t>ヘキ</t>
    </rPh>
    <rPh sb="12" eb="14">
      <t>セッケイ</t>
    </rPh>
    <rPh sb="14" eb="16">
      <t>ジョウケン</t>
    </rPh>
    <phoneticPr fontId="12"/>
  </si>
  <si>
    <t>赤坂・坂井の方法により算出するときの地下実効温度差</t>
    <rPh sb="11" eb="13">
      <t>サンシュツ</t>
    </rPh>
    <rPh sb="18" eb="20">
      <t>チカ</t>
    </rPh>
    <rPh sb="20" eb="22">
      <t>ジッコウ</t>
    </rPh>
    <rPh sb="22" eb="25">
      <t>オンドサ</t>
    </rPh>
    <phoneticPr fontId="18"/>
  </si>
  <si>
    <t>地中温度[℃]</t>
    <phoneticPr fontId="9"/>
  </si>
  <si>
    <t>赤坂・坂井の方法により算出する場合は使用しません。</t>
    <rPh sb="11" eb="13">
      <t>サンシュツ</t>
    </rPh>
    <rPh sb="15" eb="17">
      <t>バアイ</t>
    </rPh>
    <rPh sb="18" eb="20">
      <t>シヨウ</t>
    </rPh>
    <phoneticPr fontId="18"/>
  </si>
  <si>
    <t>基準値[K]</t>
    <rPh sb="0" eb="3">
      <t>キジュンチ</t>
    </rPh>
    <phoneticPr fontId="12"/>
  </si>
  <si>
    <t>平均気温[℃]</t>
    <rPh sb="0" eb="2">
      <t>ヘイキン</t>
    </rPh>
    <rPh sb="2" eb="4">
      <t>キオン</t>
    </rPh>
    <phoneticPr fontId="12"/>
  </si>
  <si>
    <t>東京の平均気温[℃]</t>
    <rPh sb="0" eb="2">
      <t>トウキョウ</t>
    </rPh>
    <rPh sb="3" eb="5">
      <t>ヘイキン</t>
    </rPh>
    <rPh sb="5" eb="7">
      <t>キオン</t>
    </rPh>
    <phoneticPr fontId="12"/>
  </si>
  <si>
    <t>決定値[K]</t>
    <rPh sb="0" eb="2">
      <t>ケッテイ</t>
    </rPh>
    <rPh sb="2" eb="3">
      <t>チ</t>
    </rPh>
    <phoneticPr fontId="12"/>
  </si>
  <si>
    <t>深度</t>
    <phoneticPr fontId="9"/>
  </si>
  <si>
    <t>t-x基準</t>
  </si>
  <si>
    <t>t-Jh基準</t>
  </si>
  <si>
    <t>平均気温はHASPEEデータの1時～24時までの暖房設計用外気温度の平均値です。</t>
    <rPh sb="0" eb="2">
      <t>ヘイキン</t>
    </rPh>
    <rPh sb="2" eb="4">
      <t>キオン</t>
    </rPh>
    <rPh sb="16" eb="17">
      <t>ジ</t>
    </rPh>
    <rPh sb="20" eb="21">
      <t>ジ</t>
    </rPh>
    <rPh sb="24" eb="26">
      <t>ダンボウ</t>
    </rPh>
    <rPh sb="26" eb="28">
      <t>セッケイ</t>
    </rPh>
    <rPh sb="28" eb="29">
      <t>ヨウ</t>
    </rPh>
    <rPh sb="29" eb="31">
      <t>ガイキ</t>
    </rPh>
    <rPh sb="31" eb="33">
      <t>オンド</t>
    </rPh>
    <rPh sb="34" eb="37">
      <t>ヘイキンチ</t>
    </rPh>
    <phoneticPr fontId="12"/>
  </si>
  <si>
    <t>東京</t>
    <phoneticPr fontId="12"/>
  </si>
  <si>
    <t>本設計（計算）においては夜間放射量（赤外放射熱損失）は考慮していません。</t>
  </si>
  <si>
    <t>したがって、暖房設計用相当外気温度はすべて外気温度に等しくなります。</t>
  </si>
  <si>
    <t>地中温度参照地点は東京です。</t>
  </si>
  <si>
    <t>実効温度差　ETD[K]</t>
    <rPh sb="0" eb="5">
      <t>ジッコウオンドサ</t>
    </rPh>
    <phoneticPr fontId="12"/>
  </si>
  <si>
    <t>h-t基準</t>
    <phoneticPr fontId="12"/>
  </si>
  <si>
    <t>水平</t>
  </si>
  <si>
    <t>N</t>
  </si>
  <si>
    <t>NE</t>
  </si>
  <si>
    <t>E</t>
  </si>
  <si>
    <t>SE</t>
  </si>
  <si>
    <t>S</t>
  </si>
  <si>
    <t>SW</t>
  </si>
  <si>
    <t>W</t>
  </si>
  <si>
    <t>NW</t>
  </si>
  <si>
    <t>実効温度差計算用無次元化貫流応答係数 yj = 貫流応答係数 Yj / 熱貫流率 U</t>
    <rPh sb="0" eb="2">
      <t>ジッコウ</t>
    </rPh>
    <rPh sb="2" eb="5">
      <t>オンドサ</t>
    </rPh>
    <rPh sb="5" eb="8">
      <t>ケイサンヨウ</t>
    </rPh>
    <rPh sb="8" eb="11">
      <t>ムジゲン</t>
    </rPh>
    <rPh sb="11" eb="12">
      <t>カ</t>
    </rPh>
    <rPh sb="12" eb="14">
      <t>カンリュウ</t>
    </rPh>
    <rPh sb="14" eb="18">
      <t>オウトウケイスウ</t>
    </rPh>
    <rPh sb="24" eb="26">
      <t>カンリュウ</t>
    </rPh>
    <rPh sb="26" eb="28">
      <t>オウトウ</t>
    </rPh>
    <rPh sb="28" eb="30">
      <t>ケイスウ</t>
    </rPh>
    <rPh sb="36" eb="37">
      <t>ネツ</t>
    </rPh>
    <rPh sb="37" eb="39">
      <t>カンリュウ</t>
    </rPh>
    <rPh sb="39" eb="40">
      <t>リツ</t>
    </rPh>
    <phoneticPr fontId="12"/>
  </si>
  <si>
    <t>ｊ</t>
    <phoneticPr fontId="12"/>
  </si>
  <si>
    <t>yj</t>
  </si>
  <si>
    <t>ｊ</t>
  </si>
  <si>
    <t>日陰</t>
    <phoneticPr fontId="3"/>
  </si>
  <si>
    <t>日陰</t>
    <phoneticPr fontId="3"/>
  </si>
  <si>
    <t>日陰</t>
    <phoneticPr fontId="3"/>
  </si>
  <si>
    <t>1.イタリック表示の部分は計算値です。</t>
  </si>
  <si>
    <t>2.実効温度差は室温26[℃]の時の値です。</t>
  </si>
  <si>
    <t xml:space="preserve">  また、各方位の値は斜面傾斜角（壁面の水平面に対する角度）が90[°]の時の値です。</t>
  </si>
  <si>
    <t>3.日射吸収率：0.7</t>
  </si>
  <si>
    <t>4.夜間放射量は考慮していません。</t>
  </si>
  <si>
    <t>5.外表面熱伝達率：23[W/(㎡・K)]</t>
  </si>
  <si>
    <t xml:space="preserve">  （上記の外表面熱伝達率は、相当外気温度の計算のみに使用しています。</t>
  </si>
  <si>
    <t xml:space="preserve">  　応答係数計算時の外表面熱伝達率は、壁タイプⅠ～Ⅳの場合は常に23[W/(㎡・K)]、</t>
  </si>
  <si>
    <t xml:space="preserve">  　壁タイプによらず個別に計算する場合は、熱貫流率データで指定された値です。）</t>
  </si>
  <si>
    <t>6.建物方位角：-5[°]</t>
  </si>
  <si>
    <t xml:space="preserve">  （各方位の実効温度差は建物方位角を考慮して計算しなおしています。）</t>
  </si>
  <si>
    <t>実効温度差及び無次元化貫流応答係数 (外壁 OW1・壁タイプⅢ)</t>
    <phoneticPr fontId="12"/>
  </si>
  <si>
    <t xml:space="preserve">  3.外壁・屋根などの実効温度差を示しています。</t>
  </si>
  <si>
    <t xml:space="preserve">  4.非空調室の温度条件を示しています。</t>
  </si>
  <si>
    <t>非空調室などの温度条件</t>
    <rPh sb="0" eb="1">
      <t>ヒ</t>
    </rPh>
    <rPh sb="1" eb="3">
      <t>クウチョウ</t>
    </rPh>
    <rPh sb="3" eb="4">
      <t>シツ</t>
    </rPh>
    <rPh sb="7" eb="9">
      <t>オンド</t>
    </rPh>
    <rPh sb="9" eb="11">
      <t>ジョウケン</t>
    </rPh>
    <phoneticPr fontId="12"/>
  </si>
  <si>
    <t>中間季の値は参考値です</t>
    <rPh sb="0" eb="2">
      <t>チュウカン</t>
    </rPh>
    <rPh sb="2" eb="3">
      <t>キ</t>
    </rPh>
    <rPh sb="4" eb="5">
      <t>アタイ</t>
    </rPh>
    <rPh sb="6" eb="8">
      <t>サンコウ</t>
    </rPh>
    <rPh sb="8" eb="9">
      <t>チ</t>
    </rPh>
    <phoneticPr fontId="12"/>
  </si>
  <si>
    <t>隣室記号</t>
    <rPh sb="0" eb="2">
      <t>リンシツ</t>
    </rPh>
    <rPh sb="2" eb="4">
      <t>キゴウ</t>
    </rPh>
    <phoneticPr fontId="5"/>
  </si>
  <si>
    <t>隣室記号</t>
    <rPh sb="0" eb="2">
      <t>リンシツ</t>
    </rPh>
    <rPh sb="2" eb="4">
      <t>キゴウ</t>
    </rPh>
    <phoneticPr fontId="12"/>
  </si>
  <si>
    <t>室名</t>
    <rPh sb="0" eb="2">
      <t>シツメイ</t>
    </rPh>
    <phoneticPr fontId="12"/>
  </si>
  <si>
    <t>温度条件</t>
    <rPh sb="0" eb="2">
      <t>オンド</t>
    </rPh>
    <rPh sb="2" eb="4">
      <t>ジョウケン</t>
    </rPh>
    <phoneticPr fontId="12"/>
  </si>
  <si>
    <t>夏季</t>
    <rPh sb="0" eb="2">
      <t>カキ</t>
    </rPh>
    <phoneticPr fontId="12"/>
  </si>
  <si>
    <t>冬季</t>
    <rPh sb="0" eb="2">
      <t>トウキ</t>
    </rPh>
    <phoneticPr fontId="12"/>
  </si>
  <si>
    <t>中間季</t>
    <rPh sb="0" eb="2">
      <t>チュウカン</t>
    </rPh>
    <rPh sb="2" eb="3">
      <t>キ</t>
    </rPh>
    <phoneticPr fontId="12"/>
  </si>
  <si>
    <t>廊下</t>
  </si>
  <si>
    <t>廊下等</t>
  </si>
  <si>
    <t>隣室温度差係数=0.3</t>
  </si>
  <si>
    <t>階段</t>
  </si>
  <si>
    <t>階段室等</t>
  </si>
  <si>
    <t>隣室温度差係数=0.4</t>
  </si>
  <si>
    <t>WC</t>
  </si>
  <si>
    <t>トイレ</t>
  </si>
  <si>
    <t>風除室</t>
  </si>
  <si>
    <t>風除室等</t>
  </si>
  <si>
    <t>隣室温度差係数=1</t>
  </si>
  <si>
    <t>物置</t>
  </si>
  <si>
    <t>物置・倉庫</t>
  </si>
  <si>
    <t>厨房</t>
  </si>
  <si>
    <t>厨房等</t>
  </si>
  <si>
    <t>外気温度+2[K]</t>
  </si>
  <si>
    <t>倉庫</t>
  </si>
  <si>
    <t>倉庫（サーモ付換気扇）</t>
  </si>
  <si>
    <t>室温=40[℃]</t>
  </si>
  <si>
    <t>外気温度+5[K]</t>
  </si>
  <si>
    <t>機械室</t>
  </si>
  <si>
    <t>機械Ｓ</t>
  </si>
  <si>
    <t>機械室（サーモ付換気扇）</t>
  </si>
  <si>
    <t>電気室</t>
  </si>
  <si>
    <t>電気室（サーモ付換気扇）</t>
  </si>
  <si>
    <t>ボイラ</t>
  </si>
  <si>
    <t>ボイラー室</t>
  </si>
  <si>
    <t>外気温度+10[K]</t>
  </si>
  <si>
    <t>コンプ</t>
  </si>
  <si>
    <t>コンプレッサー室（サーモ付換気扇）</t>
  </si>
  <si>
    <t>凍-20℃</t>
  </si>
  <si>
    <t>冷凍庫（-20[℃]）</t>
  </si>
  <si>
    <t>室温=-20[℃]</t>
  </si>
  <si>
    <t>冷5℃</t>
  </si>
  <si>
    <t>冷蔵庫（5[℃]）</t>
  </si>
  <si>
    <t>室温=5[℃]</t>
  </si>
  <si>
    <t>参照地点名</t>
    <rPh sb="2" eb="4">
      <t>チテン</t>
    </rPh>
    <phoneticPr fontId="9"/>
  </si>
  <si>
    <t>注記</t>
    <rPh sb="0" eb="2">
      <t>チュウキ</t>
    </rPh>
    <phoneticPr fontId="9"/>
  </si>
  <si>
    <t>日陰コード</t>
    <rPh sb="0" eb="2">
      <t>ヒカゲ</t>
    </rPh>
    <phoneticPr fontId="9"/>
  </si>
  <si>
    <t>各部寸法[mm]</t>
  </si>
  <si>
    <t>V</t>
  </si>
  <si>
    <t>B</t>
  </si>
  <si>
    <t>b</t>
  </si>
  <si>
    <t>H</t>
  </si>
  <si>
    <t>h</t>
  </si>
  <si>
    <t>h'</t>
  </si>
  <si>
    <t>断面図</t>
    <rPh sb="0" eb="3">
      <t>ダンメンズ</t>
    </rPh>
    <phoneticPr fontId="9"/>
  </si>
  <si>
    <t>平面図</t>
    <rPh sb="0" eb="3">
      <t>ヘイメンズ</t>
    </rPh>
    <phoneticPr fontId="9"/>
  </si>
  <si>
    <t>上向日陰</t>
    <rPh sb="0" eb="2">
      <t>ウエム</t>
    </rPh>
    <rPh sb="2" eb="4">
      <t>ヒカゲ</t>
    </rPh>
    <phoneticPr fontId="9"/>
  </si>
  <si>
    <t>水平面拡散日射熱取得IGSh</t>
    <rPh sb="0" eb="2">
      <t>スイヘイ</t>
    </rPh>
    <rPh sb="2" eb="3">
      <t>メン</t>
    </rPh>
    <rPh sb="3" eb="5">
      <t>カクサン</t>
    </rPh>
    <rPh sb="5" eb="7">
      <t>ニッシャ</t>
    </rPh>
    <rPh sb="7" eb="8">
      <t>ネツ</t>
    </rPh>
    <rPh sb="8" eb="10">
      <t>シュトク</t>
    </rPh>
    <phoneticPr fontId="9"/>
  </si>
  <si>
    <t>日陰</t>
    <phoneticPr fontId="9"/>
  </si>
  <si>
    <t>垂直面拡散日射熱取得IGS</t>
    <rPh sb="0" eb="2">
      <t>スイチョク</t>
    </rPh>
    <rPh sb="2" eb="3">
      <t>メン</t>
    </rPh>
    <rPh sb="3" eb="5">
      <t>カクサン</t>
    </rPh>
    <rPh sb="5" eb="7">
      <t>ニッシャ</t>
    </rPh>
    <rPh sb="7" eb="8">
      <t>ネツ</t>
    </rPh>
    <rPh sb="8" eb="10">
      <t>シュトク</t>
    </rPh>
    <phoneticPr fontId="9"/>
  </si>
  <si>
    <t>水平面全日射熱取得IG</t>
    <rPh sb="0" eb="3">
      <t>スイヘイメン</t>
    </rPh>
    <rPh sb="3" eb="4">
      <t>ゼン</t>
    </rPh>
    <rPh sb="4" eb="6">
      <t>ニッシャ</t>
    </rPh>
    <rPh sb="6" eb="7">
      <t>ネツ</t>
    </rPh>
    <rPh sb="7" eb="9">
      <t>シュトク</t>
    </rPh>
    <phoneticPr fontId="9"/>
  </si>
  <si>
    <t>直達日射熱取得IGD</t>
    <rPh sb="0" eb="2">
      <t>チョクタツ</t>
    </rPh>
    <rPh sb="2" eb="4">
      <t>ニッシャ</t>
    </rPh>
    <rPh sb="4" eb="5">
      <t>ネツ</t>
    </rPh>
    <rPh sb="5" eb="7">
      <t>シュトク</t>
    </rPh>
    <phoneticPr fontId="9"/>
  </si>
  <si>
    <t>日照面積率SG</t>
    <phoneticPr fontId="9"/>
  </si>
  <si>
    <t>全日射熱取得IG=IGD･SG+IGS</t>
    <rPh sb="0" eb="1">
      <t>ゼン</t>
    </rPh>
    <rPh sb="1" eb="3">
      <t>ニッシャ</t>
    </rPh>
    <rPh sb="3" eb="4">
      <t>ネツ</t>
    </rPh>
    <rPh sb="4" eb="6">
      <t>シュトク</t>
    </rPh>
    <phoneticPr fontId="9"/>
  </si>
  <si>
    <t>日照面積率SG</t>
    <phoneticPr fontId="9"/>
  </si>
  <si>
    <t>日照面積率SG</t>
    <phoneticPr fontId="9"/>
  </si>
  <si>
    <t>日照面積率SG</t>
    <phoneticPr fontId="9"/>
  </si>
  <si>
    <t>日照面積率SG</t>
    <phoneticPr fontId="9"/>
  </si>
  <si>
    <t>日照面積率SG</t>
    <phoneticPr fontId="9"/>
  </si>
  <si>
    <t>日照面積率SG</t>
    <phoneticPr fontId="9"/>
  </si>
  <si>
    <t>Jc-t基準</t>
    <phoneticPr fontId="12"/>
  </si>
  <si>
    <t>水平日陰</t>
    <rPh sb="0" eb="2">
      <t>スイヘイ</t>
    </rPh>
    <phoneticPr fontId="9"/>
  </si>
  <si>
    <t>日陰</t>
    <phoneticPr fontId="9"/>
  </si>
  <si>
    <t>日照面積率SG</t>
    <phoneticPr fontId="9"/>
  </si>
  <si>
    <t>日照面積率SG</t>
    <phoneticPr fontId="9"/>
  </si>
  <si>
    <t>日照面積率SG</t>
    <phoneticPr fontId="9"/>
  </si>
  <si>
    <t>Js-t基準</t>
    <phoneticPr fontId="12"/>
  </si>
  <si>
    <t>日陰</t>
    <phoneticPr fontId="9"/>
  </si>
  <si>
    <t>日照面積率SG</t>
    <phoneticPr fontId="9"/>
  </si>
  <si>
    <t>日照面積率SG</t>
    <phoneticPr fontId="9"/>
  </si>
  <si>
    <t>日照面積率SG</t>
    <phoneticPr fontId="9"/>
  </si>
  <si>
    <t>外部遮蔽計算用寸法と各時刻における日照面積率及びガラス透過日射熱取得[W/㎡]（外部遮蔽無し）</t>
    <phoneticPr fontId="12"/>
  </si>
  <si>
    <t>外部遮蔽無し</t>
  </si>
  <si>
    <t>1.日射熱取得単位は[W/㎡]</t>
  </si>
  <si>
    <t>2.イタリック表示の部分は計算値です。</t>
  </si>
  <si>
    <t>3.直散分離には渡辺モデルを使用しています｡</t>
  </si>
  <si>
    <t>4.真近点離角を求める際の太陽位置は</t>
  </si>
  <si>
    <t xml:space="preserve">  山崎の方法(計算年=1990年)で計算しています。</t>
  </si>
  <si>
    <t>5.入射角特性はJIS A 2103(附属書G)で計算しています。</t>
  </si>
  <si>
    <t>日陰</t>
    <phoneticPr fontId="9"/>
  </si>
  <si>
    <t>日照面積率SG</t>
    <phoneticPr fontId="9"/>
  </si>
  <si>
    <t>日照面積率SG</t>
    <phoneticPr fontId="9"/>
  </si>
  <si>
    <t>Js-t基準</t>
    <phoneticPr fontId="12"/>
  </si>
  <si>
    <t>外部遮蔽計算用寸法と各時刻における日照面積率及びガラス透過日射熱取得[W/㎡]（日陰コード：2F）</t>
    <phoneticPr fontId="12"/>
  </si>
  <si>
    <t>2F</t>
  </si>
  <si>
    <t xml:space="preserve">  5.ガラス透過日射熱取得の値を示しています。</t>
  </si>
  <si>
    <t>熱貫流率計算表</t>
  </si>
  <si>
    <t xml:space="preserve">  構造体の熱貫流率を計算しています。</t>
  </si>
  <si>
    <t>熱貫流率の計算</t>
    <rPh sb="0" eb="1">
      <t>ネツ</t>
    </rPh>
    <rPh sb="1" eb="3">
      <t>カンリュウ</t>
    </rPh>
    <rPh sb="3" eb="4">
      <t>リツ</t>
    </rPh>
    <rPh sb="5" eb="7">
      <t>ケイサン</t>
    </rPh>
    <phoneticPr fontId="9"/>
  </si>
  <si>
    <t>略　　図</t>
    <rPh sb="0" eb="1">
      <t>リャク</t>
    </rPh>
    <rPh sb="3" eb="4">
      <t>ズ</t>
    </rPh>
    <phoneticPr fontId="9"/>
  </si>
  <si>
    <t>番号</t>
    <phoneticPr fontId="9"/>
  </si>
  <si>
    <t>材　料　名</t>
    <rPh sb="0" eb="1">
      <t>ザイ</t>
    </rPh>
    <rPh sb="2" eb="3">
      <t>リョウ</t>
    </rPh>
    <rPh sb="4" eb="5">
      <t>メイ</t>
    </rPh>
    <phoneticPr fontId="9"/>
  </si>
  <si>
    <t>厚さ
t
[m]</t>
    <phoneticPr fontId="9"/>
  </si>
  <si>
    <t>熱伝導率
λ
[W/(m･K)]</t>
    <phoneticPr fontId="9"/>
  </si>
  <si>
    <t>t/λ
[㎡･K/W]</t>
    <phoneticPr fontId="9"/>
  </si>
  <si>
    <t>厚さ
t
[m]</t>
  </si>
  <si>
    <t>熱伝導率
λ
[W/(m･K)]</t>
  </si>
  <si>
    <t>t/λ
[㎡･K/W]</t>
  </si>
  <si>
    <t>１行目</t>
  </si>
  <si>
    <t>外壁</t>
  </si>
  <si>
    <t>OW1</t>
  </si>
  <si>
    <t>壁タイプ=Ⅲ</t>
  </si>
  <si>
    <t>日射吸収率=0.7</t>
  </si>
  <si>
    <t>外壁外表面熱伝達率</t>
  </si>
  <si>
    <t>-</t>
  </si>
  <si>
    <t>(23[W/(㎡・K])</t>
  </si>
  <si>
    <t>タイル</t>
  </si>
  <si>
    <t>コンクリート</t>
  </si>
  <si>
    <t>ビーズ法ポリスチレンフォーム　保温板　2号</t>
  </si>
  <si>
    <t>非密閉空気層</t>
  </si>
  <si>
    <t>せっこうボード</t>
  </si>
  <si>
    <t>室内表面熱伝達率</t>
  </si>
  <si>
    <t>(9[W/(㎡・K])</t>
  </si>
  <si>
    <t>熱抵抗(ｔ／λ合計)</t>
  </si>
  <si>
    <t>熱貫流率　U = 1/1.073 = 0.9[W/(㎡･K)]</t>
  </si>
  <si>
    <t>外壁ｶﾞﾗｽ</t>
  </si>
  <si>
    <t>OG1</t>
  </si>
  <si>
    <t>Low-E（日射遮蔽型）+透明 6mm (空気層6mm)</t>
  </si>
  <si>
    <t>(明色ブラインド付)</t>
  </si>
  <si>
    <t>ガラス面積比率=0.85</t>
  </si>
  <si>
    <t>遮蔽係数 = 0.34→0.47</t>
  </si>
  <si>
    <t>熱貫流率 U = 2.1|2.5[W/(㎡･K)]</t>
  </si>
  <si>
    <t>内壁</t>
  </si>
  <si>
    <t>IW1</t>
  </si>
  <si>
    <t>セメント・モルタル</t>
  </si>
  <si>
    <t>熱貫流率　U = 1/0.342 = 2.9[W/(㎡･K)]</t>
  </si>
  <si>
    <t>天井･床</t>
  </si>
  <si>
    <t>C1</t>
  </si>
  <si>
    <t xml:space="preserve">ビニル系床材  </t>
  </si>
  <si>
    <t>熱貫流率　U = 1/0.442 = 2.3[W/(㎡･K)]</t>
  </si>
  <si>
    <t>各室熱負荷計算書</t>
  </si>
  <si>
    <t xml:space="preserve">  各室の構造体負荷、内部負荷および外気負荷を計算しています。</t>
  </si>
  <si>
    <t>空調使用時間：</t>
    <rPh sb="0" eb="2">
      <t>クウチョウ</t>
    </rPh>
    <rPh sb="2" eb="4">
      <t>シヨウ</t>
    </rPh>
    <rPh sb="4" eb="6">
      <t>ジカン</t>
    </rPh>
    <phoneticPr fontId="5"/>
  </si>
  <si>
    <t>負荷計算用紙J24h</t>
    <rPh sb="0" eb="2">
      <t>フカ</t>
    </rPh>
    <rPh sb="2" eb="4">
      <t>ケイサン</t>
    </rPh>
    <rPh sb="4" eb="6">
      <t>ヨウシ</t>
    </rPh>
    <phoneticPr fontId="5"/>
  </si>
  <si>
    <t>室NO</t>
    <phoneticPr fontId="5"/>
  </si>
  <si>
    <t>面積</t>
  </si>
  <si>
    <t>階</t>
    <phoneticPr fontId="5"/>
  </si>
  <si>
    <t>外壁面積法による分</t>
  </si>
  <si>
    <t>隙間風合計：</t>
  </si>
  <si>
    <t>明記なき単位は以下のとおり
 日射量ig：[W/㎡]、熱貫流率U：[W/(㎡・K)]、温度差⊿t：[K]</t>
    <rPh sb="0" eb="2">
      <t>メイキ</t>
    </rPh>
    <rPh sb="4" eb="6">
      <t>タンイ</t>
    </rPh>
    <rPh sb="7" eb="9">
      <t>イカ</t>
    </rPh>
    <phoneticPr fontId="5"/>
  </si>
  <si>
    <t>h-t基準　冷房負荷[W]</t>
    <rPh sb="3" eb="5">
      <t>キジュン</t>
    </rPh>
    <phoneticPr fontId="5"/>
  </si>
  <si>
    <t>Jc-t基準　冷房負荷[W]</t>
    <rPh sb="4" eb="6">
      <t>キジュン</t>
    </rPh>
    <phoneticPr fontId="5"/>
  </si>
  <si>
    <t>Js-t基準　冷房負荷[W]</t>
    <rPh sb="4" eb="6">
      <t>キジュン</t>
    </rPh>
    <phoneticPr fontId="5"/>
  </si>
  <si>
    <t>暖房負荷[W]</t>
    <rPh sb="0" eb="2">
      <t>ダンボウ</t>
    </rPh>
    <phoneticPr fontId="5"/>
  </si>
  <si>
    <t>最大負荷[W]</t>
    <rPh sb="0" eb="2">
      <t>サイダイ</t>
    </rPh>
    <rPh sb="2" eb="4">
      <t>フカ</t>
    </rPh>
    <phoneticPr fontId="5"/>
  </si>
  <si>
    <t>t-x基準</t>
    <rPh sb="3" eb="5">
      <t>キジュン</t>
    </rPh>
    <phoneticPr fontId="5"/>
  </si>
  <si>
    <t>t-Jh基準</t>
    <rPh sb="4" eb="6">
      <t>キジュン</t>
    </rPh>
    <phoneticPr fontId="5"/>
  </si>
  <si>
    <t>ガラス透過負荷</t>
    <rPh sb="3" eb="5">
      <t>トウカ</t>
    </rPh>
    <rPh sb="5" eb="7">
      <t>フカ</t>
    </rPh>
    <phoneticPr fontId="5"/>
  </si>
  <si>
    <t>壁体記号</t>
  </si>
  <si>
    <t>方位</t>
  </si>
  <si>
    <t>面積S[m2]</t>
    <phoneticPr fontId="5"/>
  </si>
  <si>
    <t>遮蔽係数SC</t>
    <phoneticPr fontId="12"/>
  </si>
  <si>
    <t>日陰コード</t>
    <rPh sb="0" eb="2">
      <t>ヒカゲ</t>
    </rPh>
    <phoneticPr fontId="5"/>
  </si>
  <si>
    <t>ig</t>
    <phoneticPr fontId="5"/>
  </si>
  <si>
    <t>S・S.C.・ig</t>
    <phoneticPr fontId="12"/>
  </si>
  <si>
    <t>ig</t>
  </si>
  <si>
    <t>S・S.C.・ig</t>
    <phoneticPr fontId="12"/>
  </si>
  <si>
    <t>S・S.C.・ig</t>
    <phoneticPr fontId="12"/>
  </si>
  <si>
    <t>S・S.C.・ig</t>
  </si>
  <si>
    <t>面積S[m2]</t>
    <phoneticPr fontId="5"/>
  </si>
  <si>
    <t>ig</t>
    <phoneticPr fontId="5"/>
  </si>
  <si>
    <t>遮蔽係数SC</t>
    <phoneticPr fontId="12"/>
  </si>
  <si>
    <t>-</t>
    <phoneticPr fontId="5"/>
  </si>
  <si>
    <t>h-t基準
設計最大負荷
↓
↓
↓</t>
    <rPh sb="3" eb="5">
      <t>キジュン</t>
    </rPh>
    <rPh sb="6" eb="8">
      <t>セッケイ</t>
    </rPh>
    <rPh sb="8" eb="10">
      <t>サイダイ</t>
    </rPh>
    <phoneticPr fontId="5"/>
  </si>
  <si>
    <t>Jc-t基準
設計最大負荷
↓
↓
↓</t>
    <rPh sb="4" eb="6">
      <t>キジュン</t>
    </rPh>
    <rPh sb="9" eb="11">
      <t>サイダイ</t>
    </rPh>
    <phoneticPr fontId="5"/>
  </si>
  <si>
    <t>Js-t基準
設計最大負荷
↓
↓
↓</t>
    <rPh sb="4" eb="6">
      <t>キジュン</t>
    </rPh>
    <rPh sb="9" eb="11">
      <t>サイダイ</t>
    </rPh>
    <phoneticPr fontId="5"/>
  </si>
  <si>
    <t>-</t>
    <phoneticPr fontId="5"/>
  </si>
  <si>
    <t>①顕熱負荷1 [W]</t>
    <phoneticPr fontId="5"/>
  </si>
  <si>
    <t>①顕熱負荷1 [W]</t>
    <phoneticPr fontId="5"/>
  </si>
  <si>
    <t>①顕熱負荷1 [W]</t>
    <phoneticPr fontId="5"/>
  </si>
  <si>
    <t>壁体貫流負荷</t>
    <rPh sb="0" eb="1">
      <t>ヘキ</t>
    </rPh>
    <rPh sb="1" eb="2">
      <t>タイ</t>
    </rPh>
    <rPh sb="2" eb="4">
      <t>カンリュウ</t>
    </rPh>
    <rPh sb="4" eb="6">
      <t>フカ</t>
    </rPh>
    <phoneticPr fontId="5"/>
  </si>
  <si>
    <t>面積S[m2]</t>
    <phoneticPr fontId="5"/>
  </si>
  <si>
    <t>熱貫流率U</t>
  </si>
  <si>
    <t>⊿t</t>
    <phoneticPr fontId="5"/>
  </si>
  <si>
    <t>S・U・⊿t</t>
    <phoneticPr fontId="5"/>
  </si>
  <si>
    <t>⊿t</t>
  </si>
  <si>
    <t>S・U・⊿t</t>
    <phoneticPr fontId="5"/>
  </si>
  <si>
    <t>S・U・⊿t</t>
    <phoneticPr fontId="5"/>
  </si>
  <si>
    <t>S・U・⊿t</t>
  </si>
  <si>
    <t>⊿t</t>
    <phoneticPr fontId="5"/>
  </si>
  <si>
    <t>②顕熱負荷2 [W]</t>
    <phoneticPr fontId="5"/>
  </si>
  <si>
    <t>②顕熱負荷2 [W]</t>
    <phoneticPr fontId="5"/>
  </si>
  <si>
    <t>r</t>
    <phoneticPr fontId="5"/>
  </si>
  <si>
    <t>取得熱量</t>
  </si>
  <si>
    <t>損失熱量</t>
    <rPh sb="0" eb="2">
      <t>ソンシツ</t>
    </rPh>
    <phoneticPr fontId="5"/>
  </si>
  <si>
    <t>顕熱負荷</t>
  </si>
  <si>
    <t>h-t基準
設計顕熱負荷
↓
↓</t>
    <rPh sb="8" eb="10">
      <t>ケンネツ</t>
    </rPh>
    <phoneticPr fontId="12"/>
  </si>
  <si>
    <t>Jc-t基準
設計顕熱負荷
↓
↓</t>
    <rPh sb="9" eb="11">
      <t>ケンネツ</t>
    </rPh>
    <phoneticPr fontId="12"/>
  </si>
  <si>
    <t>Js-t基準
設計顕熱負荷
↓
↓</t>
    <rPh sb="9" eb="11">
      <t>ケンネツ</t>
    </rPh>
    <phoneticPr fontId="12"/>
  </si>
  <si>
    <t>冷房設計
最大顕熱負荷
↓
↓</t>
    <rPh sb="7" eb="9">
      <t>ケンネツ</t>
    </rPh>
    <phoneticPr fontId="12"/>
  </si>
  <si>
    <t>暖房設計
最大顕熱負荷
↓
↓</t>
    <rPh sb="7" eb="9">
      <t>ケンネツ</t>
    </rPh>
    <phoneticPr fontId="12"/>
  </si>
  <si>
    <t>h-t基準
設計潜熱負荷
↓
↓</t>
  </si>
  <si>
    <t>Jc-t基準
設計潜熱負荷
↓
↓</t>
  </si>
  <si>
    <t>Js-t基準
設計潜熱負荷
↓
↓</t>
  </si>
  <si>
    <t>冷房設計
最大潜熱負荷
↓
↓</t>
  </si>
  <si>
    <t>暖房設計
最大潜熱負荷
↓
↓</t>
  </si>
  <si>
    <t xml:space="preserve">
外気負荷、過冷却負荷及び全負荷</t>
    <rPh sb="1" eb="5">
      <t>ガイキフカ</t>
    </rPh>
    <rPh sb="6" eb="9">
      <t>カレイキャク</t>
    </rPh>
    <rPh sb="9" eb="11">
      <t>フカ</t>
    </rPh>
    <rPh sb="11" eb="12">
      <t>オヨ</t>
    </rPh>
    <rPh sb="13" eb="14">
      <t>ゼン</t>
    </rPh>
    <rPh sb="14" eb="16">
      <t>フカ</t>
    </rPh>
    <phoneticPr fontId="5"/>
  </si>
  <si>
    <t xml:space="preserve">
外気負荷及び全負荷</t>
    <rPh sb="1" eb="5">
      <t>ガイキフカ</t>
    </rPh>
    <rPh sb="5" eb="6">
      <t>オヨ</t>
    </rPh>
    <rPh sb="7" eb="8">
      <t>ゼン</t>
    </rPh>
    <rPh sb="8" eb="10">
      <t>フカ</t>
    </rPh>
    <phoneticPr fontId="5"/>
  </si>
  <si>
    <t>h-t基準</t>
    <rPh sb="3" eb="5">
      <t>キジュン</t>
    </rPh>
    <phoneticPr fontId="5"/>
  </si>
  <si>
    <t>Jc-t基準</t>
    <rPh sb="4" eb="6">
      <t>キジュン</t>
    </rPh>
    <phoneticPr fontId="5"/>
  </si>
  <si>
    <t>Js-t基準</t>
    <rPh sb="4" eb="6">
      <t>キジュン</t>
    </rPh>
    <phoneticPr fontId="5"/>
  </si>
  <si>
    <t>冷房最大</t>
    <rPh sb="0" eb="2">
      <t>レイボウ</t>
    </rPh>
    <rPh sb="2" eb="4">
      <t>サイダイ</t>
    </rPh>
    <phoneticPr fontId="5"/>
  </si>
  <si>
    <t>暖房最大</t>
    <rPh sb="0" eb="2">
      <t>ダンボウ</t>
    </rPh>
    <rPh sb="2" eb="4">
      <t>サイダイ</t>
    </rPh>
    <phoneticPr fontId="5"/>
  </si>
  <si>
    <t>⊿h</t>
  </si>
  <si>
    <t>　　その他の負荷</t>
    <rPh sb="4" eb="5">
      <t>タ</t>
    </rPh>
    <rPh sb="6" eb="8">
      <t>フカ</t>
    </rPh>
    <phoneticPr fontId="5"/>
  </si>
  <si>
    <t>その他の負荷</t>
    <rPh sb="2" eb="3">
      <t>タ</t>
    </rPh>
    <rPh sb="4" eb="6">
      <t>フカ</t>
    </rPh>
    <phoneticPr fontId="5"/>
  </si>
  <si>
    <t>t-x基準</t>
    <phoneticPr fontId="5"/>
  </si>
  <si>
    <t>負荷量</t>
  </si>
  <si>
    <t>⊿x</t>
  </si>
  <si>
    <t>　　備考</t>
    <rPh sb="2" eb="4">
      <t>ビコウ</t>
    </rPh>
    <phoneticPr fontId="5"/>
  </si>
  <si>
    <t>所長室</t>
  </si>
  <si>
    <t>ACU-2</t>
  </si>
  <si>
    <t>2.1|2.5</t>
  </si>
  <si>
    <t>0.34→0.47</t>
  </si>
  <si>
    <t>(C)室内全熱負荷以降の外気負荷等は、熱源容量計算用の基準別、時刻別の値です。外気負荷を含めた空調機の容量の計算等は別紙「ACU-2系統 空調機容量の計算」をご参照ください。</t>
  </si>
  <si>
    <t>9時-18時</t>
  </si>
  <si>
    <t>9時-18時</t>
    <phoneticPr fontId="5"/>
  </si>
  <si>
    <t>Js-t</t>
  </si>
  <si>
    <t>冷房設計
最大負荷
(顕熱負荷
により決定、
Js-t基準
採用)
↓
↓
↓</t>
    <phoneticPr fontId="5"/>
  </si>
  <si>
    <t>t-Jh</t>
  </si>
  <si>
    <t>暖房設計
最大負荷
(顕熱負荷
により決定、
t-Jh基準
採用)
↓
↓
↓</t>
    <phoneticPr fontId="5"/>
  </si>
  <si>
    <t>室NO</t>
  </si>
  <si>
    <t>室名</t>
  </si>
  <si>
    <t>室名</t>
    <phoneticPr fontId="5"/>
  </si>
  <si>
    <t>所長室</t>
    <phoneticPr fontId="3"/>
  </si>
  <si>
    <t>設計外気風量[m3/h]</t>
    <phoneticPr fontId="5"/>
  </si>
  <si>
    <t>夜間外気風量[m3/h]</t>
    <phoneticPr fontId="5"/>
  </si>
  <si>
    <t>系統記号</t>
    <phoneticPr fontId="5"/>
  </si>
  <si>
    <t>室NO</t>
    <phoneticPr fontId="5"/>
  </si>
  <si>
    <t>乾球温度</t>
    <phoneticPr fontId="3"/>
  </si>
  <si>
    <t>相対湿度</t>
    <phoneticPr fontId="24"/>
  </si>
  <si>
    <t>比エンタルピ</t>
    <phoneticPr fontId="24"/>
  </si>
  <si>
    <t>絶対湿度</t>
    <phoneticPr fontId="5"/>
  </si>
  <si>
    <t>ACU-2</t>
    <phoneticPr fontId="3"/>
  </si>
  <si>
    <t>階</t>
  </si>
  <si>
    <t>階</t>
    <phoneticPr fontId="5"/>
  </si>
  <si>
    <t>面積</t>
    <phoneticPr fontId="3"/>
  </si>
  <si>
    <t>天井高</t>
    <phoneticPr fontId="5"/>
  </si>
  <si>
    <t>容積</t>
    <phoneticPr fontId="5"/>
  </si>
  <si>
    <t>隙間風→→</t>
    <phoneticPr fontId="5"/>
  </si>
  <si>
    <t>サッシより： -</t>
  </si>
  <si>
    <t>ドアより： -</t>
  </si>
  <si>
    <t>外壁面積法による分</t>
    <phoneticPr fontId="5"/>
  </si>
  <si>
    <t>隙間風合計：</t>
    <phoneticPr fontId="5"/>
  </si>
  <si>
    <t>h-t基準</t>
  </si>
  <si>
    <t>h-t基準</t>
    <phoneticPr fontId="12"/>
  </si>
  <si>
    <t>Jc-t基準</t>
  </si>
  <si>
    <t>Jc-t基準</t>
    <phoneticPr fontId="12"/>
  </si>
  <si>
    <t>Js-t基準</t>
  </si>
  <si>
    <t>Js-t基準</t>
    <phoneticPr fontId="12"/>
  </si>
  <si>
    <t>隙間風→→</t>
    <phoneticPr fontId="12"/>
  </si>
  <si>
    <t>外壁面積法による分</t>
    <phoneticPr fontId="3"/>
  </si>
  <si>
    <t>隙間風合計：</t>
    <phoneticPr fontId="3"/>
  </si>
  <si>
    <t>内部負荷</t>
    <phoneticPr fontId="5"/>
  </si>
  <si>
    <t>r</t>
    <phoneticPr fontId="5"/>
  </si>
  <si>
    <t>取得熱量</t>
    <phoneticPr fontId="3"/>
  </si>
  <si>
    <t>内部負荷</t>
    <phoneticPr fontId="5"/>
  </si>
  <si>
    <t>時刻</t>
    <phoneticPr fontId="5"/>
  </si>
  <si>
    <t>損失熱量</t>
    <phoneticPr fontId="5"/>
  </si>
  <si>
    <t>人間</t>
    <phoneticPr fontId="5"/>
  </si>
  <si>
    <t>×稼働率r</t>
  </si>
  <si>
    <t>照明</t>
    <phoneticPr fontId="5"/>
  </si>
  <si>
    <t>OA機器</t>
    <phoneticPr fontId="3"/>
  </si>
  <si>
    <t>大形事務器、生産装置</t>
    <phoneticPr fontId="5"/>
  </si>
  <si>
    <t>その他の顕熱負荷</t>
    <phoneticPr fontId="5"/>
  </si>
  <si>
    <t>③顕熱負荷3 [W]</t>
    <phoneticPr fontId="5"/>
  </si>
  <si>
    <t>隙間風</t>
    <phoneticPr fontId="5"/>
  </si>
  <si>
    <t>⊿t</t>
    <phoneticPr fontId="3"/>
  </si>
  <si>
    <t>顕熱負荷</t>
    <phoneticPr fontId="3"/>
  </si>
  <si>
    <t>④顕熱負荷4[W]</t>
    <phoneticPr fontId="5"/>
  </si>
  <si>
    <t>地中構造体</t>
    <phoneticPr fontId="5"/>
  </si>
  <si>
    <t>外気に接する長さL[m]</t>
    <phoneticPr fontId="12"/>
  </si>
  <si>
    <t>周長基準熱貫流率U</t>
    <phoneticPr fontId="12"/>
  </si>
  <si>
    <t>L・U・⊿t</t>
    <phoneticPr fontId="5"/>
  </si>
  <si>
    <t>L・U・⊿t</t>
    <phoneticPr fontId="3"/>
  </si>
  <si>
    <t>⊿t</t>
    <phoneticPr fontId="5"/>
  </si>
  <si>
    <t>土間床</t>
  </si>
  <si>
    <t>土間床</t>
    <phoneticPr fontId="12"/>
  </si>
  <si>
    <t>地中壁</t>
  </si>
  <si>
    <t>地中壁</t>
    <phoneticPr fontId="12"/>
  </si>
  <si>
    <t>⑤顕熱負荷5 [W]</t>
    <phoneticPr fontId="5"/>
  </si>
  <si>
    <t>蓄熱負荷</t>
    <phoneticPr fontId="5"/>
  </si>
  <si>
    <t>地上（HASPEEの方法による分）</t>
    <phoneticPr fontId="12"/>
  </si>
  <si>
    <t>地中（井上の方法による分）</t>
    <phoneticPr fontId="12"/>
  </si>
  <si>
    <t>⑥顕熱負荷6 [W]</t>
    <phoneticPr fontId="5"/>
  </si>
  <si>
    <t>⑦顕熱負荷小計　①+②+③+④+⑤+⑥ [W]</t>
    <phoneticPr fontId="5"/>
  </si>
  <si>
    <t>⑧余裕係数×送風機負荷係数</t>
    <phoneticPr fontId="5"/>
  </si>
  <si>
    <t>1.00×1.05</t>
  </si>
  <si>
    <t>⑧余裕係数</t>
    <phoneticPr fontId="5"/>
  </si>
  <si>
    <t xml:space="preserve"> (A)顕熱負荷 ⑦×⑧ [W]</t>
    <phoneticPr fontId="5"/>
  </si>
  <si>
    <t>潜熱負荷</t>
    <phoneticPr fontId="5"/>
  </si>
  <si>
    <t>絶対湿度差⊿xの単位：[g/kg]</t>
    <phoneticPr fontId="36"/>
  </si>
  <si>
    <t>r,⊿x</t>
    <phoneticPr fontId="3"/>
  </si>
  <si>
    <t>その他の潜熱負荷</t>
    <phoneticPr fontId="5"/>
  </si>
  <si>
    <t>(B)潜熱負荷合計 [W]</t>
    <phoneticPr fontId="5"/>
  </si>
  <si>
    <t>(C)室内全熱負荷　(A)+(B) [W]</t>
    <phoneticPr fontId="5"/>
  </si>
  <si>
    <t>単位負荷（室内全熱負荷(C)／室面積） [W/m2]</t>
    <phoneticPr fontId="5"/>
  </si>
  <si>
    <t>空調使用時間：</t>
    <phoneticPr fontId="5"/>
  </si>
  <si>
    <t>冷暖</t>
    <phoneticPr fontId="3"/>
  </si>
  <si>
    <t>冷房設計用蓄熱負荷の計算</t>
    <phoneticPr fontId="5"/>
  </si>
  <si>
    <t>暖房設計用蓄熱負荷の計算</t>
    <phoneticPr fontId="5"/>
  </si>
  <si>
    <t>本室の冷房蓄熱負荷の扱い</t>
    <phoneticPr fontId="5"/>
  </si>
  <si>
    <t>連日分のみ考慮</t>
    <phoneticPr fontId="5"/>
  </si>
  <si>
    <t>本室の暖房蓄熱負荷の扱い</t>
    <phoneticPr fontId="5"/>
  </si>
  <si>
    <t>予冷時間</t>
    <phoneticPr fontId="5"/>
  </si>
  <si>
    <t>予熱時間</t>
    <phoneticPr fontId="5"/>
  </si>
  <si>
    <t>予冷終了後の負荷変動に対する公比 r</t>
    <phoneticPr fontId="5"/>
  </si>
  <si>
    <t>予熱時間補正係数 Cp</t>
    <phoneticPr fontId="5"/>
  </si>
  <si>
    <t xml:space="preserve"> 表1　窓方位係数 Csr と予冷時間補正係数 Cp 窓面積比 Ag/Afの計算</t>
    <phoneticPr fontId="5"/>
  </si>
  <si>
    <t xml:space="preserve"> 表2　窓方位係数 Csr の計算</t>
    <phoneticPr fontId="5"/>
  </si>
  <si>
    <t>方位</t>
    <phoneticPr fontId="5"/>
  </si>
  <si>
    <t>窓面積Ag</t>
    <phoneticPr fontId="5"/>
  </si>
  <si>
    <t>Csr</t>
    <phoneticPr fontId="5"/>
  </si>
  <si>
    <t>Cp</t>
    <phoneticPr fontId="5"/>
  </si>
  <si>
    <t>Ag×Csr</t>
    <phoneticPr fontId="5"/>
  </si>
  <si>
    <t>Ag×Cp</t>
    <phoneticPr fontId="5"/>
  </si>
  <si>
    <t>窓面積Ag×SG</t>
    <phoneticPr fontId="5"/>
  </si>
  <si>
    <t>Ag×SG×Csr</t>
    <phoneticPr fontId="5"/>
  </si>
  <si>
    <t>一般方位</t>
    <phoneticPr fontId="3"/>
  </si>
  <si>
    <t>SE,S,SW</t>
    <phoneticPr fontId="3"/>
  </si>
  <si>
    <t>合計</t>
    <phoneticPr fontId="5"/>
  </si>
  <si>
    <t>加重平均</t>
    <phoneticPr fontId="5"/>
  </si>
  <si>
    <t>床面積Af=</t>
    <phoneticPr fontId="5"/>
  </si>
  <si>
    <t>[㎡]</t>
    <phoneticPr fontId="5"/>
  </si>
  <si>
    <t>注：SGは対象の窓ガラスの1月30日9時における日照面積率</t>
    <phoneticPr fontId="5"/>
  </si>
  <si>
    <t>窓面積比=Ag/Af=</t>
    <phoneticPr fontId="5"/>
  </si>
  <si>
    <t>t-x基準12時の水平面全天日射量</t>
    <phoneticPr fontId="5"/>
  </si>
  <si>
    <t>[W/㎡]</t>
    <phoneticPr fontId="5"/>
  </si>
  <si>
    <t>上記による軽減係数</t>
    <phoneticPr fontId="5"/>
  </si>
  <si>
    <t>地域と設計室温の補正係数　Ct　の計算</t>
    <phoneticPr fontId="35"/>
  </si>
  <si>
    <t>Csrの決定値</t>
    <phoneticPr fontId="5"/>
  </si>
  <si>
    <t>Jc-t基準気象データの6時の外気温度 to6Jct</t>
    <phoneticPr fontId="5"/>
  </si>
  <si>
    <t>[℃]</t>
    <phoneticPr fontId="5"/>
  </si>
  <si>
    <t>冷房室内設計温度 tr</t>
    <phoneticPr fontId="5"/>
  </si>
  <si>
    <t>表3　熱損失係数 Kt および</t>
    <phoneticPr fontId="5"/>
  </si>
  <si>
    <t xml:space="preserve">⊿t=to6Jct-tr= 27.3 [℃]- 28.0 [℃]= </t>
  </si>
  <si>
    <t>基準負荷(連日運転) qbase0、基準負荷(休日成分) qbase1 の計算</t>
    <phoneticPr fontId="5"/>
  </si>
  <si>
    <t xml:space="preserve">Ct=0.22×(⊿t-1.3) = 0.22×(-0.7 -1.3)= </t>
  </si>
  <si>
    <t>1Kあたりの熱損失[W/K]</t>
    <phoneticPr fontId="5"/>
  </si>
  <si>
    <t>床面積Af
[㎡]</t>
    <phoneticPr fontId="5"/>
  </si>
  <si>
    <t>Ct決定値　</t>
  </si>
  <si>
    <t>窓
ΣU・A</t>
    <phoneticPr fontId="5"/>
  </si>
  <si>
    <t>外壁・屋根
ΣU・A</t>
    <phoneticPr fontId="5"/>
  </si>
  <si>
    <t>内壁・天井
・床
ΣU・Aj</t>
    <phoneticPr fontId="5"/>
  </si>
  <si>
    <t>隙間風
cρV</t>
    <phoneticPr fontId="5"/>
  </si>
  <si>
    <t>連日運転の実用蓄熱負荷 qst0　の計算</t>
    <phoneticPr fontId="5"/>
  </si>
  <si>
    <t xml:space="preserve">qst0=13(1+Ct+Csr)Ag/Af+7=13×(1+ (-0.44)+0.00)×0.20 +7 = </t>
  </si>
  <si>
    <t>実用蓄熱負荷の休日成分 qst1 の計算</t>
    <phoneticPr fontId="5"/>
  </si>
  <si>
    <t>休日成分は考慮しません</t>
  </si>
  <si>
    <t>冷房設計用実用蓄熱負荷の各値の計算</t>
    <phoneticPr fontId="5"/>
  </si>
  <si>
    <t>連日運転分
[W/㎡]</t>
    <phoneticPr fontId="5"/>
  </si>
  <si>
    <t>休日成分
[W/㎡]</t>
    <phoneticPr fontId="5"/>
  </si>
  <si>
    <t>合計
[W/㎡]</t>
    <phoneticPr fontId="5"/>
  </si>
  <si>
    <t>熱損失係数 Kt</t>
    <phoneticPr fontId="5"/>
  </si>
  <si>
    <t>予冷終了時</t>
    <phoneticPr fontId="5"/>
  </si>
  <si>
    <t>Cp×1.0×qst0=</t>
  </si>
  <si>
    <t>考慮しない</t>
  </si>
  <si>
    <t>予冷終了後</t>
    <phoneticPr fontId="5"/>
  </si>
  <si>
    <t>0.65×qst0=</t>
  </si>
  <si>
    <t>t-Jh基準気象データの9時の外気温度 to9Jh</t>
    <phoneticPr fontId="5"/>
  </si>
  <si>
    <t>暖房室内設計温度 tr</t>
    <phoneticPr fontId="5"/>
  </si>
  <si>
    <t>注記</t>
  </si>
  <si>
    <t xml:space="preserve">⊿T=tr-to9Jh= 19.0 [℃]- 1.5 [℃]= </t>
  </si>
  <si>
    <t xml:space="preserve">1.　Cp= 1.00 （表1にて計算済） </t>
  </si>
  <si>
    <t xml:space="preserve">Ct=0.05×(⊿t-20.5) = 0.05×(17.5 -20.5)= </t>
  </si>
  <si>
    <t>2.　予冷終了時とは部屋使用開始時刻（通常9時）を示します。</t>
  </si>
  <si>
    <t>3.　予冷終了後とは上記の次の時刻（通常10時）以降を示します。</t>
  </si>
  <si>
    <t xml:space="preserve">4.　予冷終了後の蓄熱負荷は公比 0.92 により下記のように計算します。 </t>
  </si>
  <si>
    <t xml:space="preserve">qst0=Cp(1+Ct)qbase0-20=1.00× (1+ (-0.15) )× 32.6 -20= </t>
  </si>
  <si>
    <t>経過時間
j [h]</t>
    <phoneticPr fontId="5"/>
  </si>
  <si>
    <t>Cj0</t>
    <phoneticPr fontId="5"/>
  </si>
  <si>
    <t>連日分
[W/㎡]</t>
    <phoneticPr fontId="5"/>
  </si>
  <si>
    <t>qst0 の決定値　</t>
  </si>
  <si>
    <t>暖房設計用実用蓄熱負荷合計値　qst</t>
    <phoneticPr fontId="5"/>
  </si>
  <si>
    <r>
      <t>qbase0=90(1-e</t>
    </r>
    <r>
      <rPr>
        <vertAlign val="superscript"/>
        <sz val="9"/>
        <rFont val="ＭＳ Ｐゴシック"/>
        <family val="3"/>
        <charset val="128"/>
      </rPr>
      <t>-0.31Kt</t>
    </r>
    <r>
      <rPr>
        <sz val="9"/>
        <rFont val="ＭＳ Ｐゴシック"/>
        <family val="3"/>
        <charset val="128"/>
      </rPr>
      <t>)[W/㎡]</t>
    </r>
    <phoneticPr fontId="5"/>
  </si>
  <si>
    <r>
      <t>qbase1=43(1-e</t>
    </r>
    <r>
      <rPr>
        <vertAlign val="superscript"/>
        <sz val="9"/>
        <rFont val="ＭＳ Ｐゴシック"/>
        <family val="3"/>
        <charset val="128"/>
      </rPr>
      <t>-0.70Kt</t>
    </r>
    <r>
      <rPr>
        <sz val="9"/>
        <rFont val="ＭＳ Ｐゴシック"/>
        <family val="3"/>
        <charset val="128"/>
      </rPr>
      <t>)[W/㎡]</t>
    </r>
    <phoneticPr fontId="5"/>
  </si>
  <si>
    <t>室名</t>
    <phoneticPr fontId="5"/>
  </si>
  <si>
    <t>面積S[m2]</t>
    <phoneticPr fontId="5"/>
  </si>
  <si>
    <t>遮蔽係数SC</t>
    <phoneticPr fontId="12"/>
  </si>
  <si>
    <t>ig</t>
    <phoneticPr fontId="5"/>
  </si>
  <si>
    <t>S・S.C.・ig</t>
    <phoneticPr fontId="12"/>
  </si>
  <si>
    <t>-</t>
    <phoneticPr fontId="5"/>
  </si>
  <si>
    <t>-</t>
    <phoneticPr fontId="5"/>
  </si>
  <si>
    <t>①顕熱負荷1 [W]</t>
    <phoneticPr fontId="5"/>
  </si>
  <si>
    <t>①顕熱負荷1 [W]</t>
    <phoneticPr fontId="5"/>
  </si>
  <si>
    <t>①顕熱負荷1 [W]</t>
    <phoneticPr fontId="5"/>
  </si>
  <si>
    <t>面積S[m2]</t>
    <phoneticPr fontId="5"/>
  </si>
  <si>
    <t>⊿t</t>
    <phoneticPr fontId="5"/>
  </si>
  <si>
    <t>S・U・⊿t</t>
    <phoneticPr fontId="5"/>
  </si>
  <si>
    <t>S・U・⊿t</t>
    <phoneticPr fontId="5"/>
  </si>
  <si>
    <t>⊿t</t>
    <phoneticPr fontId="5"/>
  </si>
  <si>
    <t>S・U・⊿t</t>
    <phoneticPr fontId="5"/>
  </si>
  <si>
    <t>②顕熱負荷2 [W]</t>
    <phoneticPr fontId="5"/>
  </si>
  <si>
    <t>②顕熱負荷2 [W]</t>
    <phoneticPr fontId="5"/>
  </si>
  <si>
    <t>t-x基準</t>
    <phoneticPr fontId="5"/>
  </si>
  <si>
    <t>t-x基準</t>
    <phoneticPr fontId="5"/>
  </si>
  <si>
    <t>事務室A</t>
  </si>
  <si>
    <t>9時-18時</t>
    <phoneticPr fontId="5"/>
  </si>
  <si>
    <t>冷房設計
最大負荷
(顕熱負荷
により決定、
Js-t基準
採用)
↓
↓
↓</t>
    <phoneticPr fontId="5"/>
  </si>
  <si>
    <t>暖房設計
最大負荷
(顕熱負荷
により決定、
t-Jh基準
採用)
↓
↓
↓</t>
    <phoneticPr fontId="5"/>
  </si>
  <si>
    <t>室名</t>
    <phoneticPr fontId="5"/>
  </si>
  <si>
    <t>事務室A</t>
    <phoneticPr fontId="3"/>
  </si>
  <si>
    <t>⑧余裕係数×送風機負荷係数</t>
    <phoneticPr fontId="5"/>
  </si>
  <si>
    <t>⑧余裕係数</t>
    <phoneticPr fontId="5"/>
  </si>
  <si>
    <t xml:space="preserve">qst0=13(1+Ct+Csr)Ag/Af+7=13×(1+ (-0.44)+0.00)×0.21 +7 = </t>
  </si>
  <si>
    <t xml:space="preserve">qst0=Cp(1+Ct)qbase0-20=1.00× (1+ (-0.15) )× 24.2 -20= </t>
  </si>
  <si>
    <r>
      <t>qbase0=90(1-e</t>
    </r>
    <r>
      <rPr>
        <vertAlign val="superscript"/>
        <sz val="9"/>
        <rFont val="ＭＳ Ｐゴシック"/>
        <family val="3"/>
        <charset val="128"/>
      </rPr>
      <t>-0.31Kt</t>
    </r>
    <r>
      <rPr>
        <sz val="9"/>
        <rFont val="ＭＳ Ｐゴシック"/>
        <family val="3"/>
        <charset val="128"/>
      </rPr>
      <t>)[W/㎡]</t>
    </r>
    <phoneticPr fontId="5"/>
  </si>
  <si>
    <t>絶対湿度</t>
    <phoneticPr fontId="5"/>
  </si>
  <si>
    <t>天井高</t>
    <phoneticPr fontId="5"/>
  </si>
  <si>
    <t>面積S[m2]</t>
    <phoneticPr fontId="5"/>
  </si>
  <si>
    <t>遮蔽係数SC</t>
    <phoneticPr fontId="12"/>
  </si>
  <si>
    <t>ig</t>
    <phoneticPr fontId="5"/>
  </si>
  <si>
    <t>S・S.C.・ig</t>
    <phoneticPr fontId="12"/>
  </si>
  <si>
    <t>-</t>
    <phoneticPr fontId="5"/>
  </si>
  <si>
    <t>-</t>
    <phoneticPr fontId="5"/>
  </si>
  <si>
    <t>①顕熱負荷1 [W]</t>
    <phoneticPr fontId="5"/>
  </si>
  <si>
    <t>①顕熱負荷1 [W]</t>
    <phoneticPr fontId="5"/>
  </si>
  <si>
    <t>①顕熱負荷1 [W]</t>
    <phoneticPr fontId="5"/>
  </si>
  <si>
    <t>S・U・⊿t</t>
    <phoneticPr fontId="5"/>
  </si>
  <si>
    <t>S・U・⊿t</t>
    <phoneticPr fontId="5"/>
  </si>
  <si>
    <t>S・U・⊿t</t>
    <phoneticPr fontId="5"/>
  </si>
  <si>
    <t>面積S[m2]</t>
    <phoneticPr fontId="5"/>
  </si>
  <si>
    <t>⊿t</t>
    <phoneticPr fontId="5"/>
  </si>
  <si>
    <t>面積S[m2]</t>
    <phoneticPr fontId="5"/>
  </si>
  <si>
    <t>[㎡]</t>
    <phoneticPr fontId="5"/>
  </si>
  <si>
    <t>②顕熱負荷2 [W]</t>
    <phoneticPr fontId="5"/>
  </si>
  <si>
    <t>②顕熱負荷2 [W]</t>
    <phoneticPr fontId="5"/>
  </si>
  <si>
    <t>前室</t>
  </si>
  <si>
    <t>9時-18時</t>
    <phoneticPr fontId="5"/>
  </si>
  <si>
    <t>h-t</t>
  </si>
  <si>
    <t>冷房設計
最大負荷
(顕熱負荷
により決定、
h-t基準
採用)
↓
↓
↓</t>
    <phoneticPr fontId="5"/>
  </si>
  <si>
    <t>暖房設計
最大負荷
(顕熱負荷
により決定、
t-Jh基準
採用)
↓
↓
↓</t>
    <phoneticPr fontId="5"/>
  </si>
  <si>
    <t>室NO</t>
    <phoneticPr fontId="5"/>
  </si>
  <si>
    <t>前室</t>
    <phoneticPr fontId="3"/>
  </si>
  <si>
    <t>系統記号</t>
    <phoneticPr fontId="5"/>
  </si>
  <si>
    <t>容積</t>
    <phoneticPr fontId="5"/>
  </si>
  <si>
    <t>内部負荷</t>
    <phoneticPr fontId="5"/>
  </si>
  <si>
    <t xml:space="preserve">qst0=13(1+Ct+Csr)Ag/Af+7=13×(1+ (-0.44)+0.00)×0.00 +7 = </t>
  </si>
  <si>
    <t xml:space="preserve">qst0=Cp(1+Ct)qbase0-20=1.00× (1+ (-0.15) )× 28.7 -20= </t>
  </si>
  <si>
    <r>
      <t>qbase1=43(1-e</t>
    </r>
    <r>
      <rPr>
        <vertAlign val="superscript"/>
        <sz val="9"/>
        <rFont val="ＭＳ Ｐゴシック"/>
        <family val="3"/>
        <charset val="128"/>
      </rPr>
      <t>-0.70Kt</t>
    </r>
    <r>
      <rPr>
        <sz val="9"/>
        <rFont val="ＭＳ Ｐゴシック"/>
        <family val="3"/>
        <charset val="128"/>
      </rPr>
      <t>)[W/㎡]</t>
    </r>
    <phoneticPr fontId="5"/>
  </si>
  <si>
    <t>面積S[m2]</t>
    <phoneticPr fontId="5"/>
  </si>
  <si>
    <t>遮蔽係数SC</t>
    <phoneticPr fontId="12"/>
  </si>
  <si>
    <t>ig</t>
    <phoneticPr fontId="5"/>
  </si>
  <si>
    <t>S・S.C.・ig</t>
    <phoneticPr fontId="12"/>
  </si>
  <si>
    <t>①顕熱負荷1 [W]</t>
    <phoneticPr fontId="5"/>
  </si>
  <si>
    <t>面積S[m2]</t>
    <phoneticPr fontId="5"/>
  </si>
  <si>
    <t>⊿t</t>
    <phoneticPr fontId="5"/>
  </si>
  <si>
    <t>S・U・⊿t</t>
    <phoneticPr fontId="5"/>
  </si>
  <si>
    <t>②顕熱負荷2 [W]</t>
    <phoneticPr fontId="5"/>
  </si>
  <si>
    <t>t-x基準</t>
    <phoneticPr fontId="5"/>
  </si>
  <si>
    <t>休養室</t>
  </si>
  <si>
    <t>冷房設計
最大負荷
(顕熱負荷
により決定、
Js-t基準
採用)
↓
↓
↓</t>
    <phoneticPr fontId="5"/>
  </si>
  <si>
    <t>暖房設計
最大負荷
(顕熱負荷
により決定、
t-Jh基準
採用)
↓
↓
↓</t>
    <phoneticPr fontId="5"/>
  </si>
  <si>
    <t>室NO</t>
    <phoneticPr fontId="5"/>
  </si>
  <si>
    <t>休養室</t>
    <phoneticPr fontId="3"/>
  </si>
  <si>
    <t>容積</t>
    <phoneticPr fontId="5"/>
  </si>
  <si>
    <t>取得熱量</t>
    <phoneticPr fontId="3"/>
  </si>
  <si>
    <t>冷暖</t>
    <phoneticPr fontId="3"/>
  </si>
  <si>
    <t>暖房設計用蓄熱負荷の計算</t>
    <phoneticPr fontId="5"/>
  </si>
  <si>
    <t xml:space="preserve">qst0=13(1+Ct+Csr)Ag/Af+7=13×(1+ (-0.44)+0.00)×0.22 +7 = </t>
  </si>
  <si>
    <t xml:space="preserve">qst0=Cp(1+Ct)qbase0-20=1.00× (1+ (-0.15) )× 29.3 -20= </t>
  </si>
  <si>
    <r>
      <t>qbase0=90(1-e</t>
    </r>
    <r>
      <rPr>
        <vertAlign val="superscript"/>
        <sz val="9"/>
        <rFont val="ＭＳ Ｐゴシック"/>
        <family val="3"/>
        <charset val="128"/>
      </rPr>
      <t>-0.31Kt</t>
    </r>
    <r>
      <rPr>
        <sz val="9"/>
        <rFont val="ＭＳ Ｐゴシック"/>
        <family val="3"/>
        <charset val="128"/>
      </rPr>
      <t>)[W/㎡]</t>
    </r>
    <phoneticPr fontId="5"/>
  </si>
  <si>
    <t>面積S[m2]</t>
    <phoneticPr fontId="5"/>
  </si>
  <si>
    <t>遮蔽係数SC</t>
    <phoneticPr fontId="12"/>
  </si>
  <si>
    <t>ig</t>
    <phoneticPr fontId="5"/>
  </si>
  <si>
    <t>S・S.C.・ig</t>
    <phoneticPr fontId="12"/>
  </si>
  <si>
    <t>-</t>
    <phoneticPr fontId="5"/>
  </si>
  <si>
    <t>①顕熱負荷1 [W]</t>
    <phoneticPr fontId="5"/>
  </si>
  <si>
    <t>①顕熱負荷1 [W]</t>
    <phoneticPr fontId="5"/>
  </si>
  <si>
    <t>⊿t</t>
    <phoneticPr fontId="5"/>
  </si>
  <si>
    <t>S・U・⊿t</t>
    <phoneticPr fontId="5"/>
  </si>
  <si>
    <t>S・U・⊿t</t>
    <phoneticPr fontId="5"/>
  </si>
  <si>
    <t>面積S[m2]</t>
    <phoneticPr fontId="5"/>
  </si>
  <si>
    <t>②顕熱負荷2 [W]</t>
    <phoneticPr fontId="5"/>
  </si>
  <si>
    <t>t-x基準</t>
    <phoneticPr fontId="5"/>
  </si>
  <si>
    <t>交換室</t>
  </si>
  <si>
    <t>9時-18時</t>
    <phoneticPr fontId="5"/>
  </si>
  <si>
    <t>冷房設計
最大負荷
(顕熱負荷
により決定、
Js-t基準
採用)
↓
↓
↓</t>
    <phoneticPr fontId="5"/>
  </si>
  <si>
    <t>暖房設計
最大負荷
(顕熱負荷
により決定、
t-Jh基準
採用)
↓
↓
↓</t>
    <phoneticPr fontId="5"/>
  </si>
  <si>
    <t>室NO</t>
    <phoneticPr fontId="5"/>
  </si>
  <si>
    <t>室名</t>
    <phoneticPr fontId="5"/>
  </si>
  <si>
    <t>交換室</t>
    <phoneticPr fontId="3"/>
  </si>
  <si>
    <t>室NO</t>
    <phoneticPr fontId="5"/>
  </si>
  <si>
    <t>設計外気風量[m3/h]</t>
    <phoneticPr fontId="5"/>
  </si>
  <si>
    <t>内部負荷</t>
    <phoneticPr fontId="5"/>
  </si>
  <si>
    <t xml:space="preserve">qst0=13(1+Ct+Csr)Ag/Af+7=13×(1+ (-0.44)+0.00)×0.32 +7 = </t>
  </si>
  <si>
    <t xml:space="preserve">qst0=Cp(1+Ct)qbase0-20=1.00× (1+ (-0.15) )× 23.6 -20= </t>
  </si>
  <si>
    <r>
      <t>qbase0=90(1-e</t>
    </r>
    <r>
      <rPr>
        <vertAlign val="superscript"/>
        <sz val="9"/>
        <rFont val="ＭＳ Ｐゴシック"/>
        <family val="3"/>
        <charset val="128"/>
      </rPr>
      <t>-0.31Kt</t>
    </r>
    <r>
      <rPr>
        <sz val="9"/>
        <rFont val="ＭＳ Ｐゴシック"/>
        <family val="3"/>
        <charset val="128"/>
      </rPr>
      <t>)[W/㎡]</t>
    </r>
    <phoneticPr fontId="5"/>
  </si>
  <si>
    <t>面積S[m2]</t>
    <phoneticPr fontId="5"/>
  </si>
  <si>
    <t>遮蔽係数SC</t>
    <phoneticPr fontId="12"/>
  </si>
  <si>
    <t>ig</t>
    <phoneticPr fontId="5"/>
  </si>
  <si>
    <t>S・S.C.・ig</t>
    <phoneticPr fontId="12"/>
  </si>
  <si>
    <t>-</t>
    <phoneticPr fontId="5"/>
  </si>
  <si>
    <t>①顕熱負荷1 [W]</t>
    <phoneticPr fontId="5"/>
  </si>
  <si>
    <t>⊿t</t>
    <phoneticPr fontId="5"/>
  </si>
  <si>
    <t>S・U・⊿t</t>
    <phoneticPr fontId="5"/>
  </si>
  <si>
    <t>S・U・⊿t</t>
    <phoneticPr fontId="5"/>
  </si>
  <si>
    <t>②顕熱負荷2 [W]</t>
    <phoneticPr fontId="5"/>
  </si>
  <si>
    <t>t-x基準</t>
    <phoneticPr fontId="5"/>
  </si>
  <si>
    <t>交換機室</t>
  </si>
  <si>
    <t>9時-18時</t>
    <phoneticPr fontId="5"/>
  </si>
  <si>
    <t>冷房設計
最大負荷
(顕熱負荷
により決定、
Js-t基準
採用)
↓
↓
↓</t>
    <phoneticPr fontId="5"/>
  </si>
  <si>
    <t>交換機室</t>
    <phoneticPr fontId="3"/>
  </si>
  <si>
    <t>設計外気風量[m3/h]</t>
    <phoneticPr fontId="5"/>
  </si>
  <si>
    <t>夜間外気風量[m3/h]</t>
    <phoneticPr fontId="5"/>
  </si>
  <si>
    <t>冷暖</t>
    <phoneticPr fontId="3"/>
  </si>
  <si>
    <t xml:space="preserve">qst0=13(1+Ct+Csr)Ag/Af+7=13×(1+ (-0.44)+0.00)×0.19 +7 = </t>
  </si>
  <si>
    <t xml:space="preserve">qst0=Cp(1+Ct)qbase0-20=1.00× (1+ (-0.15) )× 39.0 -20= </t>
  </si>
  <si>
    <t>隙間風→→</t>
    <phoneticPr fontId="12"/>
  </si>
  <si>
    <t>面積S[m2]</t>
    <phoneticPr fontId="5"/>
  </si>
  <si>
    <t>遮蔽係数SC</t>
    <phoneticPr fontId="12"/>
  </si>
  <si>
    <t>ig</t>
    <phoneticPr fontId="5"/>
  </si>
  <si>
    <t>S・S.C.・ig</t>
    <phoneticPr fontId="12"/>
  </si>
  <si>
    <t>-</t>
    <phoneticPr fontId="5"/>
  </si>
  <si>
    <t>①顕熱負荷1 [W]</t>
    <phoneticPr fontId="5"/>
  </si>
  <si>
    <t>①顕熱負荷1 [W]</t>
    <phoneticPr fontId="5"/>
  </si>
  <si>
    <t>S・U・⊿t</t>
    <phoneticPr fontId="5"/>
  </si>
  <si>
    <t>S・U・⊿t</t>
    <phoneticPr fontId="5"/>
  </si>
  <si>
    <t>②顕熱負荷2 [W]</t>
    <phoneticPr fontId="5"/>
  </si>
  <si>
    <t>r</t>
    <phoneticPr fontId="5"/>
  </si>
  <si>
    <t>t-x基準</t>
    <phoneticPr fontId="5"/>
  </si>
  <si>
    <t>事務室B</t>
  </si>
  <si>
    <t>冷房設計
最大負荷
(顕熱負荷
により決定、
h-t基準
採用)
↓
↓
↓</t>
    <phoneticPr fontId="5"/>
  </si>
  <si>
    <t>暖房設計
最大負荷
(顕熱負荷
により決定、
t-Jh基準
採用)
↓
↓
↓</t>
    <phoneticPr fontId="5"/>
  </si>
  <si>
    <t>事務室B</t>
    <phoneticPr fontId="3"/>
  </si>
  <si>
    <t>設計外気風量[m3/h]</t>
    <phoneticPr fontId="5"/>
  </si>
  <si>
    <t>人間</t>
    <phoneticPr fontId="5"/>
  </si>
  <si>
    <t>NW,N,NE,SH</t>
    <phoneticPr fontId="3"/>
  </si>
  <si>
    <t>t-x基準12時の水平面全天日射量</t>
    <phoneticPr fontId="5"/>
  </si>
  <si>
    <t xml:space="preserve">qst0=Cp(1+Ct)qbase0-20=1.00× (1+ (-0.15) )× 27.4 -20= </t>
  </si>
  <si>
    <t>室NO</t>
    <phoneticPr fontId="5"/>
  </si>
  <si>
    <t>ig</t>
    <phoneticPr fontId="5"/>
  </si>
  <si>
    <t>S・S.C.・ig</t>
    <phoneticPr fontId="12"/>
  </si>
  <si>
    <t>S・U・⊿t</t>
    <phoneticPr fontId="5"/>
  </si>
  <si>
    <t>S・U・⊿t</t>
    <phoneticPr fontId="5"/>
  </si>
  <si>
    <t>②顕熱負荷2 [W]</t>
    <phoneticPr fontId="5"/>
  </si>
  <si>
    <t>事務室C</t>
  </si>
  <si>
    <t>9時-18時</t>
    <phoneticPr fontId="5"/>
  </si>
  <si>
    <t>冷房設計
最大負荷
(顕熱負荷
により決定、
h-t基準
採用)
↓
↓
↓</t>
    <phoneticPr fontId="5"/>
  </si>
  <si>
    <t>暖房設計
最大負荷
(顕熱負荷
により決定、
t-Jh基準
採用)
↓
↓
↓</t>
    <phoneticPr fontId="5"/>
  </si>
  <si>
    <t>事務室C</t>
    <phoneticPr fontId="3"/>
  </si>
  <si>
    <t>r</t>
    <phoneticPr fontId="5"/>
  </si>
  <si>
    <t>取得熱量</t>
    <phoneticPr fontId="3"/>
  </si>
  <si>
    <t xml:space="preserve"> (A)顕熱負荷 ⑦×⑧ [W]</t>
    <phoneticPr fontId="5"/>
  </si>
  <si>
    <r>
      <t>qbase0=90(1-e</t>
    </r>
    <r>
      <rPr>
        <vertAlign val="superscript"/>
        <sz val="9"/>
        <rFont val="ＭＳ Ｐゴシック"/>
        <family val="3"/>
        <charset val="128"/>
      </rPr>
      <t>-0.31Kt</t>
    </r>
    <r>
      <rPr>
        <sz val="9"/>
        <rFont val="ＭＳ Ｐゴシック"/>
        <family val="3"/>
        <charset val="128"/>
      </rPr>
      <t>)[W/㎡]</t>
    </r>
    <phoneticPr fontId="5"/>
  </si>
  <si>
    <t>面積S[m2]</t>
    <phoneticPr fontId="5"/>
  </si>
  <si>
    <t>遮蔽係数SC</t>
    <phoneticPr fontId="12"/>
  </si>
  <si>
    <t>ig</t>
    <phoneticPr fontId="5"/>
  </si>
  <si>
    <t>S・S.C.・ig</t>
    <phoneticPr fontId="12"/>
  </si>
  <si>
    <t>S・U・⊿t</t>
    <phoneticPr fontId="5"/>
  </si>
  <si>
    <t>②顕熱負荷2 [W]</t>
    <phoneticPr fontId="5"/>
  </si>
  <si>
    <t>t-x基準</t>
    <phoneticPr fontId="5"/>
  </si>
  <si>
    <t>会議室</t>
  </si>
  <si>
    <t>冷房設計
最大負荷
(顕熱負荷
により決定、
h-t基準
採用)
↓
↓
↓</t>
    <phoneticPr fontId="5"/>
  </si>
  <si>
    <t>会議室</t>
    <phoneticPr fontId="3"/>
  </si>
  <si>
    <t>夜間外気風量[m3/h]</t>
    <phoneticPr fontId="5"/>
  </si>
  <si>
    <t xml:space="preserve">qst0=Cp(1+Ct)qbase0-20=1.00× (1+ (-0.15) )× 24.4 -20= </t>
  </si>
  <si>
    <t>面積S[m2]</t>
    <phoneticPr fontId="5"/>
  </si>
  <si>
    <t>遮蔽係数SC</t>
    <phoneticPr fontId="12"/>
  </si>
  <si>
    <t>ig</t>
    <phoneticPr fontId="5"/>
  </si>
  <si>
    <t>S・S.C.・ig</t>
    <phoneticPr fontId="12"/>
  </si>
  <si>
    <t>-</t>
    <phoneticPr fontId="5"/>
  </si>
  <si>
    <t>①顕熱負荷1 [W]</t>
    <phoneticPr fontId="5"/>
  </si>
  <si>
    <t>①顕熱負荷1 [W]</t>
    <phoneticPr fontId="5"/>
  </si>
  <si>
    <t>⊿t</t>
    <phoneticPr fontId="5"/>
  </si>
  <si>
    <t>S・U・⊿t</t>
    <phoneticPr fontId="5"/>
  </si>
  <si>
    <t>S・U・⊿t</t>
    <phoneticPr fontId="5"/>
  </si>
  <si>
    <t>面積S[m2]</t>
    <phoneticPr fontId="5"/>
  </si>
  <si>
    <t>②顕熱負荷2 [W]</t>
    <phoneticPr fontId="5"/>
  </si>
  <si>
    <t>更衣室</t>
  </si>
  <si>
    <t>9時-18時</t>
    <phoneticPr fontId="5"/>
  </si>
  <si>
    <t>Jc-t</t>
  </si>
  <si>
    <t>冷房設計
最大負荷
(顕熱負荷
により決定、
Jc-t基準
採用)
↓
↓
↓</t>
    <phoneticPr fontId="5"/>
  </si>
  <si>
    <t>更衣室</t>
    <phoneticPr fontId="3"/>
  </si>
  <si>
    <t>設計外気風量[m3/h]</t>
    <phoneticPr fontId="5"/>
  </si>
  <si>
    <t>地中（井上の方法による分）</t>
    <phoneticPr fontId="12"/>
  </si>
  <si>
    <t xml:space="preserve">qst0=13(1+Ct+Csr)Ag/Af+7=13×(1+ (-0.44)+0.00)×0.17 +7 = </t>
  </si>
  <si>
    <t xml:space="preserve">qst0=Cp(1+Ct)qbase0-20=1.00× (1+ (-0.15) )× 44.1 -20= </t>
  </si>
  <si>
    <t>面積S[m2]</t>
    <phoneticPr fontId="5"/>
  </si>
  <si>
    <t>遮蔽係数SC</t>
    <phoneticPr fontId="12"/>
  </si>
  <si>
    <t>ig</t>
    <phoneticPr fontId="5"/>
  </si>
  <si>
    <t>S・S.C.・ig</t>
    <phoneticPr fontId="12"/>
  </si>
  <si>
    <t>-</t>
    <phoneticPr fontId="5"/>
  </si>
  <si>
    <t>①顕熱負荷1 [W]</t>
    <phoneticPr fontId="5"/>
  </si>
  <si>
    <t>①顕熱負荷1 [W]</t>
    <phoneticPr fontId="5"/>
  </si>
  <si>
    <t>面積S[m2]</t>
    <phoneticPr fontId="5"/>
  </si>
  <si>
    <t>S・U・⊿t</t>
    <phoneticPr fontId="5"/>
  </si>
  <si>
    <t>S・U・⊿t</t>
    <phoneticPr fontId="5"/>
  </si>
  <si>
    <t>⊿t</t>
    <phoneticPr fontId="5"/>
  </si>
  <si>
    <t>②顕熱負荷2 [W]</t>
    <phoneticPr fontId="5"/>
  </si>
  <si>
    <t>エレベーターホール</t>
  </si>
  <si>
    <t>9時-18時</t>
    <phoneticPr fontId="5"/>
  </si>
  <si>
    <t>冷房設計
最大負荷
(顕熱負荷
により決定、
h-t基準
採用)
↓
↓
↓</t>
    <phoneticPr fontId="5"/>
  </si>
  <si>
    <t>室名</t>
    <phoneticPr fontId="5"/>
  </si>
  <si>
    <t>エレベーターホール</t>
    <phoneticPr fontId="3"/>
  </si>
  <si>
    <t>取得熱量</t>
    <phoneticPr fontId="3"/>
  </si>
  <si>
    <t xml:space="preserve">qst0=Cp(1+Ct)qbase0-20=1.00× (1+ (-0.15) )× 35.4 -20= </t>
  </si>
  <si>
    <r>
      <t>qbase1=43(1-e</t>
    </r>
    <r>
      <rPr>
        <vertAlign val="superscript"/>
        <sz val="9"/>
        <rFont val="ＭＳ Ｐゴシック"/>
        <family val="3"/>
        <charset val="128"/>
      </rPr>
      <t>-0.70Kt</t>
    </r>
    <r>
      <rPr>
        <sz val="9"/>
        <rFont val="ＭＳ Ｐゴシック"/>
        <family val="3"/>
        <charset val="128"/>
      </rPr>
      <t>)[W/㎡]</t>
    </r>
    <phoneticPr fontId="5"/>
  </si>
  <si>
    <t>系統別集計表</t>
  </si>
  <si>
    <t xml:space="preserve">  空調機系統ごとに集計し、外気負荷を考慮した空調機の容量を求めています。</t>
  </si>
  <si>
    <t>[g/kg]</t>
    <phoneticPr fontId="12"/>
  </si>
  <si>
    <t>[kJ/kg]</t>
    <phoneticPr fontId="12"/>
  </si>
  <si>
    <t>[％]</t>
    <phoneticPr fontId="12"/>
  </si>
  <si>
    <t>[℃]</t>
    <phoneticPr fontId="12"/>
  </si>
  <si>
    <t>暖房</t>
    <rPh sb="0" eb="2">
      <t>ダンボウ</t>
    </rPh>
    <phoneticPr fontId="12"/>
  </si>
  <si>
    <t>冷房</t>
    <rPh sb="0" eb="2">
      <t>レイボウ</t>
    </rPh>
    <phoneticPr fontId="12"/>
  </si>
  <si>
    <t>合計</t>
    <phoneticPr fontId="12"/>
  </si>
  <si>
    <t>他ゾーンへ</t>
    <rPh sb="0" eb="1">
      <t>タ</t>
    </rPh>
    <phoneticPr fontId="36"/>
  </si>
  <si>
    <t>給気
風量</t>
    <rPh sb="0" eb="2">
      <t>キュウキ</t>
    </rPh>
    <rPh sb="3" eb="5">
      <t>フウリョウ</t>
    </rPh>
    <phoneticPr fontId="12"/>
  </si>
  <si>
    <t>顕熱負荷
より</t>
    <rPh sb="0" eb="2">
      <t>ケンネツ</t>
    </rPh>
    <rPh sb="2" eb="4">
      <t>フカ</t>
    </rPh>
    <phoneticPr fontId="36"/>
  </si>
  <si>
    <t>絶対湿度</t>
    <rPh sb="0" eb="2">
      <t>ゼッタイ</t>
    </rPh>
    <rPh sb="2" eb="4">
      <t>シツド</t>
    </rPh>
    <phoneticPr fontId="12"/>
  </si>
  <si>
    <t>比エンタルピ</t>
    <rPh sb="0" eb="1">
      <t>ヒ</t>
    </rPh>
    <phoneticPr fontId="12"/>
  </si>
  <si>
    <t>相対湿度</t>
    <rPh sb="0" eb="2">
      <t>ソウタイ</t>
    </rPh>
    <rPh sb="2" eb="4">
      <t>シツド</t>
    </rPh>
    <phoneticPr fontId="12"/>
  </si>
  <si>
    <t>乾球温度</t>
    <rPh sb="0" eb="2">
      <t>カンキュウ</t>
    </rPh>
    <rPh sb="2" eb="4">
      <t>オンド</t>
    </rPh>
    <phoneticPr fontId="12"/>
  </si>
  <si>
    <t>④給気
風量</t>
    <rPh sb="1" eb="3">
      <t>キュウキ</t>
    </rPh>
    <rPh sb="4" eb="6">
      <t>フウリョウ</t>
    </rPh>
    <phoneticPr fontId="12"/>
  </si>
  <si>
    <t>③換気回数より</t>
    <rPh sb="1" eb="3">
      <t>カンキ</t>
    </rPh>
    <rPh sb="3" eb="5">
      <t>カイスウ</t>
    </rPh>
    <phoneticPr fontId="36"/>
  </si>
  <si>
    <t>②顕熱
負荷より</t>
    <rPh sb="1" eb="3">
      <t>ケンネツ</t>
    </rPh>
    <rPh sb="4" eb="6">
      <t>フカ</t>
    </rPh>
    <phoneticPr fontId="36"/>
  </si>
  <si>
    <t>①設計
外気量</t>
    <rPh sb="1" eb="3">
      <t>セッケイ</t>
    </rPh>
    <rPh sb="4" eb="6">
      <t>ガイキ</t>
    </rPh>
    <rPh sb="6" eb="7">
      <t>リョウ</t>
    </rPh>
    <phoneticPr fontId="36"/>
  </si>
  <si>
    <t>合計</t>
    <rPh sb="0" eb="2">
      <t>ゴウケイ</t>
    </rPh>
    <phoneticPr fontId="12"/>
  </si>
  <si>
    <t>潜熱
負荷</t>
    <phoneticPr fontId="12"/>
  </si>
  <si>
    <t>暖房時</t>
    <rPh sb="0" eb="2">
      <t>ダンボウ</t>
    </rPh>
    <rPh sb="2" eb="3">
      <t>ジ</t>
    </rPh>
    <phoneticPr fontId="12"/>
  </si>
  <si>
    <t>冷房時</t>
    <rPh sb="0" eb="2">
      <t>レイボウ</t>
    </rPh>
    <rPh sb="2" eb="3">
      <t>ジ</t>
    </rPh>
    <phoneticPr fontId="12"/>
  </si>
  <si>
    <t>換気
回数
[回/h]</t>
    <phoneticPr fontId="12"/>
  </si>
  <si>
    <t>送風量[㎥/h]</t>
    <phoneticPr fontId="36"/>
  </si>
  <si>
    <t>吹出温度差[K]</t>
    <rPh sb="0" eb="2">
      <t>フキダ</t>
    </rPh>
    <rPh sb="2" eb="5">
      <t>オンドサ</t>
    </rPh>
    <phoneticPr fontId="36"/>
  </si>
  <si>
    <t>暖房負荷（最大値）[W]</t>
    <rPh sb="0" eb="2">
      <t>ダンボウ</t>
    </rPh>
    <rPh sb="5" eb="8">
      <t>サイダイチ</t>
    </rPh>
    <phoneticPr fontId="39"/>
  </si>
  <si>
    <t>再熱
負荷
[W]</t>
    <rPh sb="0" eb="1">
      <t>サイ</t>
    </rPh>
    <rPh sb="1" eb="2">
      <t>ネツ</t>
    </rPh>
    <phoneticPr fontId="36"/>
  </si>
  <si>
    <t>冷房負荷（最大値）[W]</t>
    <rPh sb="5" eb="8">
      <t>サイダイチ</t>
    </rPh>
    <phoneticPr fontId="39"/>
  </si>
  <si>
    <t>容積
[㎥]</t>
    <phoneticPr fontId="36"/>
  </si>
  <si>
    <t>天井高
[m]</t>
    <phoneticPr fontId="12"/>
  </si>
  <si>
    <t>面積
[㎡]</t>
    <phoneticPr fontId="12"/>
  </si>
  <si>
    <t>室　　　　名</t>
    <phoneticPr fontId="36"/>
  </si>
  <si>
    <t>端数切上前の
の風量[㎥/h]</t>
    <rPh sb="0" eb="2">
      <t>ハスウ</t>
    </rPh>
    <rPh sb="2" eb="4">
      <t>キリアゲ</t>
    </rPh>
    <rPh sb="4" eb="5">
      <t>マエ</t>
    </rPh>
    <rPh sb="8" eb="10">
      <t>フウリョウ</t>
    </rPh>
    <phoneticPr fontId="12"/>
  </si>
  <si>
    <t>実際の部屋の温湿度（設計時の給気温湿度条件を固定した場合の値）</t>
    <rPh sb="0" eb="2">
      <t>ジッサイ</t>
    </rPh>
    <rPh sb="3" eb="5">
      <t>ヘヤ</t>
    </rPh>
    <rPh sb="6" eb="9">
      <t>オンシツド</t>
    </rPh>
    <rPh sb="10" eb="13">
      <t>セッケイジ</t>
    </rPh>
    <rPh sb="14" eb="16">
      <t>キュウキ</t>
    </rPh>
    <rPh sb="16" eb="19">
      <t>オンシツド</t>
    </rPh>
    <rPh sb="19" eb="21">
      <t>ジョウケン</t>
    </rPh>
    <rPh sb="22" eb="24">
      <t>コテイ</t>
    </rPh>
    <rPh sb="26" eb="28">
      <t>バアイ</t>
    </rPh>
    <rPh sb="29" eb="30">
      <t>アタイ</t>
    </rPh>
    <phoneticPr fontId="12"/>
  </si>
  <si>
    <t>設計時の部屋の温湿度</t>
    <rPh sb="0" eb="3">
      <t>セッケイジ</t>
    </rPh>
    <rPh sb="4" eb="6">
      <t>ヘヤ</t>
    </rPh>
    <rPh sb="7" eb="10">
      <t>オンシツド</t>
    </rPh>
    <phoneticPr fontId="12"/>
  </si>
  <si>
    <t>データチェック用の欄</t>
    <rPh sb="7" eb="8">
      <t>ヨウ</t>
    </rPh>
    <rPh sb="9" eb="10">
      <t>ラン</t>
    </rPh>
    <phoneticPr fontId="12"/>
  </si>
  <si>
    <t>ACU-2系統熱負荷集計および風量一覧表</t>
  </si>
  <si>
    <t>合　　　計</t>
  </si>
  <si>
    <t>顕熱
負荷</t>
  </si>
  <si>
    <t>冷房時の系統全体の顕熱比= 0.88[-]</t>
  </si>
  <si>
    <t>注：吹出温度差は風量計算用の値で、実際の値ではありません。</t>
  </si>
  <si>
    <t>28.0[℃]
(28.0[℃])</t>
    <phoneticPr fontId="3"/>
  </si>
  <si>
    <t>45[％]
(44[％])</t>
    <phoneticPr fontId="3"/>
  </si>
  <si>
    <t>55.4[kJ/kg]
(54.8[kJ/kg])</t>
    <phoneticPr fontId="3"/>
  </si>
  <si>
    <t>10.7[g/kg]
(10.5[g/kg])</t>
    <phoneticPr fontId="3"/>
  </si>
  <si>
    <t>冷房設計温湿度目標値（( )内は空調機設計条件における実際値）</t>
    <phoneticPr fontId="5"/>
  </si>
  <si>
    <t>28.0[℃]
(28.0[℃])</t>
    <phoneticPr fontId="3"/>
  </si>
  <si>
    <t>45[％]
(44[％])</t>
    <phoneticPr fontId="3"/>
  </si>
  <si>
    <t>10.7[g/kg]
(10.5[g/kg])</t>
    <phoneticPr fontId="3"/>
  </si>
  <si>
    <t>28.0[℃]
(28.0[℃])</t>
    <phoneticPr fontId="3"/>
  </si>
  <si>
    <t>45[％]
(44[％])</t>
    <phoneticPr fontId="3"/>
  </si>
  <si>
    <t>10.7[g/kg]
(10.5[g/kg])</t>
    <phoneticPr fontId="3"/>
  </si>
  <si>
    <t>19.0[℃]
(17.9[℃])</t>
    <phoneticPr fontId="3"/>
  </si>
  <si>
    <t>40[％]
(43[％])</t>
    <phoneticPr fontId="3"/>
  </si>
  <si>
    <t>33.0[kJ/kg]
(31.9[kJ/kg])</t>
    <phoneticPr fontId="3"/>
  </si>
  <si>
    <t>5.5[g/kg]
(5.5[g/kg])</t>
    <phoneticPr fontId="3"/>
  </si>
  <si>
    <t>暖房設計温湿度目標値（( )内は空調機設計条件における実際値）</t>
    <phoneticPr fontId="5"/>
  </si>
  <si>
    <t>外気風量[㎥/h]</t>
    <phoneticPr fontId="5"/>
  </si>
  <si>
    <t>外気風量[㎥/h]</t>
    <phoneticPr fontId="5"/>
  </si>
  <si>
    <t>外気負荷 [W]</t>
    <phoneticPr fontId="5"/>
  </si>
  <si>
    <t>外気風量×1.2×⊿h[kJ/kg]/3.6</t>
  </si>
  <si>
    <t>系統別集計表参照</t>
    <phoneticPr fontId="3"/>
  </si>
  <si>
    <t>全負荷 [W]</t>
    <phoneticPr fontId="5"/>
  </si>
  <si>
    <t>加湿量[kg/h]</t>
    <phoneticPr fontId="5"/>
  </si>
  <si>
    <t>外気風量×1.2×⊿x[g/kg]/1000</t>
  </si>
  <si>
    <t>28.0[℃]
(28.0[℃])</t>
    <phoneticPr fontId="3"/>
  </si>
  <si>
    <t>45[％]
(45[％])</t>
    <phoneticPr fontId="3"/>
  </si>
  <si>
    <t>55.4[kJ/kg]
(55.3[kJ/kg])</t>
    <phoneticPr fontId="3"/>
  </si>
  <si>
    <t>10.7[g/kg]
(10.6[g/kg])</t>
    <phoneticPr fontId="3"/>
  </si>
  <si>
    <t>19.0[℃]
(20.4[℃])</t>
    <phoneticPr fontId="3"/>
  </si>
  <si>
    <t>40[％]
(37[％])</t>
    <phoneticPr fontId="3"/>
  </si>
  <si>
    <t>33.0[kJ/kg]
(34.4[kJ/kg])</t>
    <phoneticPr fontId="3"/>
  </si>
  <si>
    <t>外気風量[㎥/h]</t>
    <phoneticPr fontId="5"/>
  </si>
  <si>
    <t>45[％]
(42[％])</t>
    <phoneticPr fontId="3"/>
  </si>
  <si>
    <t>55.4[kJ/kg]
(53.7[kJ/kg])</t>
    <phoneticPr fontId="3"/>
  </si>
  <si>
    <t>10.7[g/kg]
(10.0[g/kg])</t>
    <phoneticPr fontId="3"/>
  </si>
  <si>
    <t>19.0[℃]
(13.9[℃])</t>
    <phoneticPr fontId="3"/>
  </si>
  <si>
    <t>40[％]
(55[％])</t>
    <phoneticPr fontId="3"/>
  </si>
  <si>
    <t>33.0[kJ/kg]
(27.8[kJ/kg])</t>
    <phoneticPr fontId="3"/>
  </si>
  <si>
    <t>冷房設計温湿度目標値（( )内は空調機設計条件における実際値）</t>
    <phoneticPr fontId="5"/>
  </si>
  <si>
    <t>19.0[℃]
(17.9[℃])</t>
    <phoneticPr fontId="3"/>
  </si>
  <si>
    <t>40[％]
(43[％])</t>
    <phoneticPr fontId="3"/>
  </si>
  <si>
    <t>33.0[kJ/kg]
(31.8[kJ/kg])</t>
    <phoneticPr fontId="3"/>
  </si>
  <si>
    <t>系統別集計表参照</t>
    <phoneticPr fontId="3"/>
  </si>
  <si>
    <t>28.0[℃]
(28.0[℃])</t>
    <phoneticPr fontId="3"/>
  </si>
  <si>
    <t>45[％]
(44[％])</t>
    <phoneticPr fontId="3"/>
  </si>
  <si>
    <t>55.4[kJ/kg]
(54.9[kJ/kg])</t>
    <phoneticPr fontId="3"/>
  </si>
  <si>
    <t>冷房設計温湿度目標値（( )内は空調機設計条件における実際値）</t>
    <phoneticPr fontId="5"/>
  </si>
  <si>
    <t>28.0[℃]
(28.0[℃])</t>
    <phoneticPr fontId="3"/>
  </si>
  <si>
    <t>冷房設計温湿度目標値（( )内は空調機設計条件における実際値）</t>
    <phoneticPr fontId="5"/>
  </si>
  <si>
    <t>19.0[℃]
(20.4[℃])</t>
    <phoneticPr fontId="3"/>
  </si>
  <si>
    <t>40[％]
(37[％])</t>
    <phoneticPr fontId="3"/>
  </si>
  <si>
    <t>33.0[kJ/kg]
(34.4[kJ/kg])</t>
    <phoneticPr fontId="3"/>
  </si>
  <si>
    <t>暖房設計温湿度目標値（( )内は空調機設計条件における実際値）</t>
    <phoneticPr fontId="5"/>
  </si>
  <si>
    <t>28.0[℃]
(28.0[℃])</t>
    <phoneticPr fontId="3"/>
  </si>
  <si>
    <t>45[％]
(42[％])</t>
    <phoneticPr fontId="3"/>
  </si>
  <si>
    <t>55.4[kJ/kg]
(53.7[kJ/kg])</t>
    <phoneticPr fontId="3"/>
  </si>
  <si>
    <t>45[％]
(42[％])</t>
    <phoneticPr fontId="3"/>
  </si>
  <si>
    <t>19.0[℃]
(16.2[℃])</t>
    <phoneticPr fontId="3"/>
  </si>
  <si>
    <t>40[％]
(48[％])</t>
    <phoneticPr fontId="3"/>
  </si>
  <si>
    <t>33.0[kJ/kg]
(30.2[kJ/kg])</t>
    <phoneticPr fontId="3"/>
  </si>
  <si>
    <t>5.5[g/kg]
(5.5[g/kg])</t>
    <phoneticPr fontId="3"/>
  </si>
  <si>
    <t>暖房設計温湿度目標値（( )内は空調機設計条件における実際値）</t>
    <phoneticPr fontId="5"/>
  </si>
  <si>
    <t>45[％]
(45[％])</t>
    <phoneticPr fontId="3"/>
  </si>
  <si>
    <t>55.4[kJ/kg]
(55.7[kJ/kg])</t>
    <phoneticPr fontId="3"/>
  </si>
  <si>
    <t>10.7[g/kg]
(10.8[g/kg])</t>
    <phoneticPr fontId="3"/>
  </si>
  <si>
    <t>55.4[kJ/kg]
(55.7[kJ/kg])</t>
    <phoneticPr fontId="3"/>
  </si>
  <si>
    <t>55.4[kJ/kg]
(55.7[kJ/kg])</t>
    <phoneticPr fontId="3"/>
  </si>
  <si>
    <t>19.0[℃]
(18.6[℃])</t>
    <phoneticPr fontId="3"/>
  </si>
  <si>
    <t>40[％]
(41[％])</t>
    <phoneticPr fontId="3"/>
  </si>
  <si>
    <t>33.0[kJ/kg]
(32.6[kJ/kg])</t>
    <phoneticPr fontId="3"/>
  </si>
  <si>
    <t>5.5[g/kg]
(5.5[g/kg])</t>
    <phoneticPr fontId="3"/>
  </si>
  <si>
    <t>28.0[℃]
(28.0[℃])</t>
    <phoneticPr fontId="3"/>
  </si>
  <si>
    <t>10.7[g/kg]
(10.8[g/kg])</t>
    <phoneticPr fontId="3"/>
  </si>
  <si>
    <t>55.4[kJ/kg]
(55.7[kJ/kg])</t>
    <phoneticPr fontId="3"/>
  </si>
  <si>
    <t>19.0[℃]
(19.6[℃])</t>
    <phoneticPr fontId="3"/>
  </si>
  <si>
    <t>40[％]
(39[％])</t>
    <phoneticPr fontId="3"/>
  </si>
  <si>
    <t>33.0[kJ/kg]
(33.6[kJ/kg])</t>
    <phoneticPr fontId="3"/>
  </si>
  <si>
    <t>外気風量[㎥/h]</t>
    <phoneticPr fontId="5"/>
  </si>
  <si>
    <t>45[％]
(51[％])</t>
    <phoneticPr fontId="3"/>
  </si>
  <si>
    <t>55.4[kJ/kg]
(59.0[kJ/kg])</t>
    <phoneticPr fontId="3"/>
  </si>
  <si>
    <t>10.7[g/kg]
(12.1[g/kg])</t>
    <phoneticPr fontId="3"/>
  </si>
  <si>
    <t>45[％]
(51[％])</t>
    <phoneticPr fontId="3"/>
  </si>
  <si>
    <t>19.0[℃]
(20.2[℃])</t>
    <phoneticPr fontId="3"/>
  </si>
  <si>
    <t>40[％]
(37[％])</t>
    <phoneticPr fontId="3"/>
  </si>
  <si>
    <t>33.0[kJ/kg]
(34.2[kJ/kg])</t>
    <phoneticPr fontId="3"/>
  </si>
  <si>
    <t>45[％]
(46[％])</t>
    <phoneticPr fontId="3"/>
  </si>
  <si>
    <t>55.4[kJ/kg]
(56.3[kJ/kg])</t>
    <phoneticPr fontId="3"/>
  </si>
  <si>
    <t>10.7[g/kg]
(11.0[g/kg])</t>
    <phoneticPr fontId="3"/>
  </si>
  <si>
    <t>45[％]
(46[％])</t>
    <phoneticPr fontId="3"/>
  </si>
  <si>
    <t>55.4[kJ/kg]
(56.3[kJ/kg])</t>
    <phoneticPr fontId="3"/>
  </si>
  <si>
    <t>10.7[g/kg]
(11.0[g/kg])</t>
    <phoneticPr fontId="3"/>
  </si>
  <si>
    <t>45[％]
(46[％])</t>
    <phoneticPr fontId="3"/>
  </si>
  <si>
    <t>19.0[℃]
(13.9[℃])</t>
    <phoneticPr fontId="3"/>
  </si>
  <si>
    <t>40[％]
(55[％])</t>
    <phoneticPr fontId="3"/>
  </si>
  <si>
    <t>33.0[kJ/kg]
(27.8[kJ/kg])</t>
    <phoneticPr fontId="3"/>
  </si>
  <si>
    <t>45[％]
(42[％])</t>
    <phoneticPr fontId="3"/>
  </si>
  <si>
    <t>55.4[kJ/kg]
(53.7[kJ/kg])</t>
    <phoneticPr fontId="3"/>
  </si>
  <si>
    <t>19.0[℃]
(18.2[℃])</t>
    <phoneticPr fontId="3"/>
  </si>
  <si>
    <t>40[％]
(42[％])</t>
    <phoneticPr fontId="3"/>
  </si>
  <si>
    <t>33.0[kJ/kg]
(32.1[kJ/kg])</t>
    <phoneticPr fontId="3"/>
  </si>
  <si>
    <t>外気風量[㎥/h]</t>
    <phoneticPr fontId="5"/>
  </si>
  <si>
    <t>外気条件，システム条件など</t>
    <rPh sb="0" eb="2">
      <t>ガイキ</t>
    </rPh>
    <rPh sb="2" eb="4">
      <t>ジョウケン</t>
    </rPh>
    <rPh sb="9" eb="11">
      <t>ジョウケン</t>
    </rPh>
    <phoneticPr fontId="12"/>
  </si>
  <si>
    <t>湿り空気 h-x 線図
大気圧 101.325[kPa]</t>
  </si>
  <si>
    <t xml:space="preserve"> </t>
  </si>
  <si>
    <t>①：外気(冷房)</t>
  </si>
  <si>
    <t>②：外気-還気</t>
  </si>
  <si>
    <t>　 混合点=冷却コイル入口</t>
  </si>
  <si>
    <t>③：冷却コイル出口</t>
  </si>
  <si>
    <t>④：室内(冷房)</t>
  </si>
  <si>
    <t>⑤：外気(暖房)</t>
  </si>
  <si>
    <t>⑥：外気-還気</t>
  </si>
  <si>
    <t>　 混合点(暖房)</t>
  </si>
  <si>
    <t>⑦：加熱コイル出口(暖房)</t>
  </si>
  <si>
    <t>⑧：給気(暖房)</t>
  </si>
  <si>
    <t>⑨：室内(暖房)</t>
  </si>
  <si>
    <t>凡例</t>
    <phoneticPr fontId="3"/>
  </si>
  <si>
    <t>■冷房設計用外気条件：33.7[℃]，56[％](h-t基準)，暖房設計用外気条件：2.0[℃]，32[％](t-x基準)，外気比：0.25[-]</t>
  </si>
  <si>
    <t>■空調機形式：循環式 ，除湿制御：なし ，加湿制御：あり(滴下浸透式)</t>
  </si>
  <si>
    <t>ACU-2系統空気線図</t>
  </si>
  <si>
    <t>　設計風量</t>
  </si>
  <si>
    <r>
      <t>空調機風量=10,950[m</t>
    </r>
    <r>
      <rPr>
        <vertAlign val="superscript"/>
        <sz val="9"/>
        <rFont val="ＭＳ Ｐゴシック"/>
        <family val="3"/>
        <charset val="128"/>
      </rPr>
      <t>3</t>
    </r>
    <r>
      <rPr>
        <sz val="9"/>
        <rFont val="ＭＳ Ｐゴシック"/>
        <family val="3"/>
        <charset val="128"/>
      </rPr>
      <t>/h]，外気風量=2,760[m</t>
    </r>
    <r>
      <rPr>
        <vertAlign val="superscript"/>
        <sz val="9"/>
        <rFont val="ＭＳ Ｐゴシック"/>
        <family val="3"/>
        <charset val="128"/>
      </rPr>
      <t>3</t>
    </r>
    <r>
      <rPr>
        <sz val="9"/>
        <rFont val="ＭＳ Ｐゴシック"/>
        <family val="3"/>
        <charset val="128"/>
      </rPr>
      <t>/h]</t>
    </r>
  </si>
  <si>
    <t>　冷房関連</t>
  </si>
  <si>
    <t>■冷却コイル容量(②→③のプロセス)</t>
  </si>
  <si>
    <r>
      <t>10,950[m</t>
    </r>
    <r>
      <rPr>
        <vertAlign val="superscript"/>
        <sz val="9"/>
        <rFont val="ＭＳ Ｐゴシック"/>
        <family val="3"/>
        <charset val="128"/>
      </rPr>
      <t>3</t>
    </r>
    <r>
      <rPr>
        <sz val="9"/>
        <rFont val="ＭＳ Ｐゴシック"/>
        <family val="3"/>
        <charset val="128"/>
      </rPr>
      <t>/h]×1.2[kg/m</t>
    </r>
    <r>
      <rPr>
        <vertAlign val="superscript"/>
        <sz val="9"/>
        <rFont val="ＭＳ Ｐゴシック"/>
        <family val="3"/>
        <charset val="128"/>
      </rPr>
      <t>3</t>
    </r>
    <r>
      <rPr>
        <sz val="9"/>
        <rFont val="ＭＳ Ｐゴシック"/>
        <family val="3"/>
        <charset val="128"/>
      </rPr>
      <t>]×(61.7 - 41.1)[kJ/kg] / 3600[sec/h] ≒ 75.2[kW]</t>
    </r>
  </si>
  <si>
    <t>入口空気条件：乾球温度= 29.4[℃]，湿球温度= 21.2[℃]</t>
  </si>
  <si>
    <t>　暖房関連</t>
  </si>
  <si>
    <t>■加熱コイル容量(⑥→⑦のプロセス)</t>
  </si>
  <si>
    <r>
      <t>10,950[m</t>
    </r>
    <r>
      <rPr>
        <vertAlign val="superscript"/>
        <sz val="9"/>
        <rFont val="ＭＳ Ｐゴシック"/>
        <family val="3"/>
        <charset val="128"/>
      </rPr>
      <t>3</t>
    </r>
    <r>
      <rPr>
        <sz val="9"/>
        <rFont val="ＭＳ Ｐゴシック"/>
        <family val="3"/>
        <charset val="128"/>
      </rPr>
      <t>/h]×1.006[kJ/kg･K]×1.2[kg/m</t>
    </r>
    <r>
      <rPr>
        <vertAlign val="superscript"/>
        <sz val="9"/>
        <rFont val="ＭＳ Ｐゴシック"/>
        <family val="3"/>
        <charset val="128"/>
      </rPr>
      <t>3</t>
    </r>
    <r>
      <rPr>
        <sz val="9"/>
        <rFont val="ＭＳ Ｐゴシック"/>
        <family val="3"/>
        <charset val="128"/>
      </rPr>
      <t>]</t>
    </r>
  </si>
  <si>
    <t>　×(25.71 - 14.75)[K] / 3600[sec/h] ≒ 40.3[kW]</t>
  </si>
  <si>
    <t>入口空気条件：乾球温度= 14.8[℃]，湿球温度= 8.6[℃]</t>
  </si>
  <si>
    <t>■加湿器容量(⑦→⑧のプロセス)</t>
  </si>
  <si>
    <r>
      <t>10,950[m</t>
    </r>
    <r>
      <rPr>
        <vertAlign val="superscript"/>
        <sz val="9"/>
        <rFont val="ＭＳ Ｐゴシック"/>
        <family val="3"/>
        <charset val="128"/>
      </rPr>
      <t>3</t>
    </r>
    <r>
      <rPr>
        <sz val="9"/>
        <rFont val="ＭＳ Ｐゴシック"/>
        <family val="3"/>
        <charset val="128"/>
      </rPr>
      <t>/h]×1.2[kg/m</t>
    </r>
    <r>
      <rPr>
        <vertAlign val="superscript"/>
        <sz val="9"/>
        <rFont val="ＭＳ Ｐゴシック"/>
        <family val="3"/>
        <charset val="128"/>
      </rPr>
      <t>3</t>
    </r>
    <r>
      <rPr>
        <sz val="9"/>
        <rFont val="ＭＳ Ｐゴシック"/>
        <family val="3"/>
        <charset val="128"/>
      </rPr>
      <t>]×(0.0055 - 0.0044)[kg/kg] ≒ 14.5[kg/h]</t>
    </r>
  </si>
  <si>
    <t>入口空気条件：乾球温度= 25.7[℃]，絶対湿度= 0.0044[kg/kg]</t>
  </si>
  <si>
    <t>　注記</t>
  </si>
  <si>
    <t>■各コイルなどの容量および加湿容量の値は小数第二位で切り上げています。</t>
  </si>
  <si>
    <t>■乾き空気の密度は厳密には乾球温度により変化しますが、</t>
  </si>
  <si>
    <r>
      <t>　 計算時は乾球温度約 20[℃]のときの値 1.2[kg/m</t>
    </r>
    <r>
      <rPr>
        <vertAlign val="superscript"/>
        <sz val="9"/>
        <rFont val="ＭＳ Ｐゴシック"/>
        <family val="3"/>
        <charset val="128"/>
      </rPr>
      <t>3</t>
    </r>
    <r>
      <rPr>
        <sz val="9"/>
        <rFont val="ＭＳ Ｐゴシック"/>
        <family val="3"/>
        <charset val="128"/>
      </rPr>
      <t>] としています。</t>
    </r>
  </si>
  <si>
    <t>■乾き空気の定圧比熱も同様に一定値 1.006[kJ/kg･K] としています。</t>
  </si>
  <si>
    <t>ACU-2系統空調機容量の計算</t>
  </si>
  <si>
    <t>熱源集計表</t>
  </si>
  <si>
    <t xml:space="preserve">  熱源負荷を集計しています。</t>
  </si>
  <si>
    <t>備考</t>
    <rPh sb="0" eb="2">
      <t>ビコウ</t>
    </rPh>
    <phoneticPr fontId="12"/>
  </si>
  <si>
    <t>冷房負荷[W]</t>
    <phoneticPr fontId="39"/>
  </si>
  <si>
    <t>面積
[㎡]</t>
    <phoneticPr fontId="12"/>
  </si>
  <si>
    <t>室　　　　名</t>
    <phoneticPr fontId="36"/>
  </si>
  <si>
    <t>RH-1系統冷熱源集計表</t>
  </si>
  <si>
    <t>■ACU-2系統 (同系統セット数=1)</t>
  </si>
  <si>
    <t>ACU-2系統合計</t>
  </si>
  <si>
    <t>h-t基準合計</t>
    <phoneticPr fontId="3"/>
  </si>
  <si>
    <t>Jc-t基準合計</t>
    <phoneticPr fontId="3"/>
  </si>
  <si>
    <t>Js-t基準合計</t>
    <phoneticPr fontId="3"/>
  </si>
  <si>
    <t>最大値(h-t基準，12時)を含む基準</t>
  </si>
  <si>
    <t>上記÷1000 [kW] (小数点以下切上げ)</t>
  </si>
  <si>
    <r>
      <t>単位負荷[W/m</t>
    </r>
    <r>
      <rPr>
        <b/>
        <vertAlign val="superscript"/>
        <sz val="9"/>
        <rFont val="ＭＳ Ｐゴシック"/>
        <family val="3"/>
        <charset val="128"/>
      </rPr>
      <t>2</t>
    </r>
    <r>
      <rPr>
        <b/>
        <sz val="9"/>
        <rFont val="ＭＳ Ｐゴシック"/>
        <family val="3"/>
        <charset val="128"/>
      </rPr>
      <t>] (小数点以下四捨五入)</t>
    </r>
  </si>
  <si>
    <t>暖房負荷[W]</t>
    <rPh sb="0" eb="2">
      <t>ダンボウ</t>
    </rPh>
    <phoneticPr fontId="39"/>
  </si>
  <si>
    <t>RH-1系統温熱源集計表</t>
  </si>
  <si>
    <t>総　合　計</t>
  </si>
  <si>
    <t>一時側
蒸気量
[kg/h]</t>
    <rPh sb="0" eb="2">
      <t>イチジ</t>
    </rPh>
    <rPh sb="2" eb="3">
      <t>ガワ</t>
    </rPh>
    <rPh sb="4" eb="6">
      <t>ジョウキ</t>
    </rPh>
    <rPh sb="6" eb="7">
      <t>リョウ</t>
    </rPh>
    <phoneticPr fontId="36"/>
  </si>
  <si>
    <t>蒸気量
[kg/h]</t>
    <rPh sb="0" eb="2">
      <t>ジョウキ</t>
    </rPh>
    <rPh sb="2" eb="3">
      <t>リョウ</t>
    </rPh>
    <phoneticPr fontId="36"/>
  </si>
  <si>
    <t>給水量
[kg/h]</t>
    <rPh sb="0" eb="2">
      <t>キュウスイ</t>
    </rPh>
    <rPh sb="2" eb="3">
      <t>リョウ</t>
    </rPh>
    <phoneticPr fontId="36"/>
  </si>
  <si>
    <t>加湿量
[kg/h]</t>
    <rPh sb="0" eb="2">
      <t>カシツ</t>
    </rPh>
    <rPh sb="2" eb="3">
      <t>リョウ</t>
    </rPh>
    <phoneticPr fontId="36"/>
  </si>
  <si>
    <t>t-Jh基準</t>
    <phoneticPr fontId="12"/>
  </si>
  <si>
    <t>熱交換
効率
[％]</t>
    <rPh sb="0" eb="3">
      <t>ネツコウカン</t>
    </rPh>
    <rPh sb="4" eb="6">
      <t>コウリツ</t>
    </rPh>
    <phoneticPr fontId="36"/>
  </si>
  <si>
    <t>一時側蒸気
蒸発潜熱
[kJ/kg]</t>
    <rPh sb="0" eb="2">
      <t>イチジ</t>
    </rPh>
    <rPh sb="2" eb="3">
      <t>ガワ</t>
    </rPh>
    <rPh sb="3" eb="5">
      <t>ジョウキ</t>
    </rPh>
    <rPh sb="6" eb="8">
      <t>ジョウハツ</t>
    </rPh>
    <rPh sb="8" eb="10">
      <t>センネツ</t>
    </rPh>
    <phoneticPr fontId="36"/>
  </si>
  <si>
    <t>加湿蒸気
比エンタルピ
[kJ/kg]</t>
    <rPh sb="0" eb="2">
      <t>カシツ</t>
    </rPh>
    <rPh sb="2" eb="4">
      <t>ジョウキ</t>
    </rPh>
    <rPh sb="5" eb="6">
      <t>ヒ</t>
    </rPh>
    <phoneticPr fontId="36"/>
  </si>
  <si>
    <t>給水有効
利用率
[％]</t>
    <rPh sb="0" eb="2">
      <t>キュウスイ</t>
    </rPh>
    <rPh sb="2" eb="4">
      <t>ユウコウ</t>
    </rPh>
    <rPh sb="5" eb="7">
      <t>リヨウ</t>
    </rPh>
    <rPh sb="7" eb="8">
      <t>リツ</t>
    </rPh>
    <phoneticPr fontId="36"/>
  </si>
  <si>
    <t>加湿器
種別</t>
    <rPh sb="0" eb="2">
      <t>カシツ</t>
    </rPh>
    <rPh sb="2" eb="3">
      <t>キ</t>
    </rPh>
    <rPh sb="4" eb="6">
      <t>シュベツ</t>
    </rPh>
    <phoneticPr fontId="36"/>
  </si>
  <si>
    <t>加湿量、給水量、蒸気量、一時側蒸気量</t>
    <rPh sb="0" eb="2">
      <t>カシツ</t>
    </rPh>
    <rPh sb="2" eb="3">
      <t>リョウ</t>
    </rPh>
    <rPh sb="4" eb="6">
      <t>キュウスイ</t>
    </rPh>
    <rPh sb="6" eb="7">
      <t>リョウ</t>
    </rPh>
    <rPh sb="8" eb="10">
      <t>ジョウキ</t>
    </rPh>
    <rPh sb="10" eb="11">
      <t>リョウ</t>
    </rPh>
    <rPh sb="12" eb="14">
      <t>イチジ</t>
    </rPh>
    <rPh sb="14" eb="15">
      <t>ガワ</t>
    </rPh>
    <rPh sb="15" eb="17">
      <t>ジョウキ</t>
    </rPh>
    <rPh sb="17" eb="18">
      <t>リョウ</t>
    </rPh>
    <phoneticPr fontId="12"/>
  </si>
  <si>
    <t>加湿器仕様</t>
    <rPh sb="0" eb="2">
      <t>カシツ</t>
    </rPh>
    <rPh sb="2" eb="3">
      <t>キ</t>
    </rPh>
    <rPh sb="3" eb="5">
      <t>シヨウ</t>
    </rPh>
    <phoneticPr fontId="12"/>
  </si>
  <si>
    <t>市水系統加湿源集計表</t>
  </si>
  <si>
    <t>滴下浸透式</t>
  </si>
  <si>
    <r>
      <t>単位負荷[g/m</t>
    </r>
    <r>
      <rPr>
        <b/>
        <vertAlign val="superscript"/>
        <sz val="9"/>
        <rFont val="ＭＳ Ｐゴシック"/>
        <family val="3"/>
        <charset val="128"/>
      </rPr>
      <t>2</t>
    </r>
    <r>
      <rPr>
        <b/>
        <sz val="9"/>
        <rFont val="ＭＳ Ｐゴシック"/>
        <family val="3"/>
        <charset val="128"/>
      </rPr>
      <t>] (小数点以下四捨五入)</t>
    </r>
  </si>
  <si>
    <t>表紙</t>
  </si>
  <si>
    <t>東京都内</t>
    <phoneticPr fontId="3"/>
  </si>
  <si>
    <t>○○ビル</t>
    <phoneticPr fontId="3"/>
  </si>
  <si>
    <t>空調換気設備</t>
    <phoneticPr fontId="3"/>
  </si>
  <si>
    <t>熱負荷計算書</t>
    <phoneticPr fontId="3"/>
  </si>
  <si>
    <t>私の会社</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</si>
</sst>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176" formatCode=";;;"/>
    <numFmt numFmtId="177" formatCode="0.0"/>
    <numFmt numFmtId="178" formatCode="##&quot;時&quot;"/>
    <numFmt numFmtId="179" formatCode="0.0;\-0.0;&quot;-&quot;;"/>
    <numFmt numFmtId="180" formatCode="0.0_);[Red]\(0.0\)"/>
    <numFmt numFmtId="181" formatCode="0.0_ "/>
    <numFmt numFmtId="182" formatCode="##&quot;m&quot;"/>
    <numFmt numFmtId="183" formatCode="##&quot;時&quot;;;"/>
    <numFmt numFmtId="184" formatCode="##&quot;:00&quot;"/>
    <numFmt numFmtId="185" formatCode="0.000_ "/>
    <numFmt numFmtId="186" formatCode="0.00&quot;㎡&quot;"/>
    <numFmt numFmtId="187" formatCode="#,##0_ "/>
    <numFmt numFmtId="188" formatCode="0.000"/>
    <numFmt numFmtId="189" formatCode=";;"/>
    <numFmt numFmtId="190" formatCode="0.00&quot;[㎡]&quot;;;"/>
    <numFmt numFmtId="191" formatCode="0.0\ &quot;[m]&quot;;;"/>
    <numFmt numFmtId="192" formatCode="0.0\ &quot;[㎥]&quot;;;"/>
    <numFmt numFmtId="193" formatCode="#,###"/>
    <numFmt numFmtId="194" formatCode="0.0&quot;[℃]&quot;;\-0.0&quot;[℃]&quot;;"/>
    <numFmt numFmtId="195" formatCode="0&quot;[％]&quot;;;"/>
    <numFmt numFmtId="196" formatCode="#,###.0&quot;[kJ/kg]&quot;;;"/>
    <numFmt numFmtId="197" formatCode="0.0&quot;[g/Kg]&quot;;;"/>
    <numFmt numFmtId="198" formatCode="#,###.0&quot;kJ/kg&quot;"/>
    <numFmt numFmtId="199" formatCode="#,##0&quot;m3/h&quot;;;"/>
    <numFmt numFmtId="200" formatCode="#,##0&quot;[㎥/h]&quot;;;"/>
    <numFmt numFmtId="201" formatCode="#,##0&quot;[㎥/h]&quot;;;&quot;-&quot;"/>
    <numFmt numFmtId="202" formatCode="0&quot;:00&quot;"/>
    <numFmt numFmtId="203" formatCode="##&quot;[h]&quot;"/>
    <numFmt numFmtId="204" formatCode="0;0;&quot;-&quot;"/>
    <numFmt numFmtId="205" formatCode="0.00;\-0.00;0.00;"/>
    <numFmt numFmtId="206" formatCode="0.00;;;@"/>
    <numFmt numFmtId="207" formatCode="0.0;&quot;-&quot;0.0;&quot;-&quot;"/>
    <numFmt numFmtId="208" formatCode="0.00;;;"/>
    <numFmt numFmtId="209" formatCode="&quot;× &quot;0"/>
    <numFmt numFmtId="210" formatCode="0.00_ ;[Red]\-0.00\ "/>
    <numFmt numFmtId="211" formatCode="0.0;;;@"/>
    <numFmt numFmtId="212" formatCode="0.00_);[Red]\(0.00\)"/>
    <numFmt numFmtId="213" formatCode="#,###;;;"/>
    <numFmt numFmtId="214" formatCode="#,##0&quot;[W/人]&quot;;;&quot;&quot;"/>
    <numFmt numFmtId="215" formatCode="&quot;×&quot;#,##0&quot;[人]&quot;;;&quot;&quot;"/>
    <numFmt numFmtId="216" formatCode="&quot;-&quot;#,##0&quot;[W/人]&quot;;;&quot;&quot;"/>
    <numFmt numFmtId="217" formatCode="#,##0&quot;[W/m2]&quot;;;&quot;&quot;"/>
    <numFmt numFmtId="218" formatCode="&quot;×&quot;#,##0.00&quot;[㎡]&quot;;;&quot;&quot;"/>
    <numFmt numFmtId="219" formatCode="&quot;-&quot;#,##0&quot;[W/m2]&quot;;;&quot;&quot;"/>
    <numFmt numFmtId="220" formatCode="&quot;×&quot;0.00;&quot;×-&quot;0.00;"/>
    <numFmt numFmtId="221" formatCode="&quot;×&quot;#,##0.00_ "/>
    <numFmt numFmtId="222" formatCode="#,###&quot;[W]&quot;;;&quot;&quot;"/>
    <numFmt numFmtId="223" formatCode="&quot;-&quot;#,###&quot;[W]&quot;;;&quot;&quot;"/>
    <numFmt numFmtId="224" formatCode="0.0\ &quot;[m]&quot;"/>
    <numFmt numFmtId="225" formatCode="0.0\ &quot;[W/(m・K)]&quot;;;"/>
    <numFmt numFmtId="226" formatCode="0.0;;&quot;-&quot;;"/>
    <numFmt numFmtId="227" formatCode="0;;&quot;-&quot;;"/>
    <numFmt numFmtId="228" formatCode="0.0;;;"/>
    <numFmt numFmtId="229" formatCode="0.0\ &quot;[W/(m・K)]&quot;"/>
    <numFmt numFmtId="230" formatCode="&quot;×&quot;0.00"/>
    <numFmt numFmtId="231" formatCode="&quot;× &quot;0;&quot;× -&quot;0;;"/>
    <numFmt numFmtId="232" formatCode="0.0;\-0.0;&quot;-&quot;"/>
    <numFmt numFmtId="233" formatCode="0.0;&quot;-&quot;0.0;"/>
    <numFmt numFmtId="234" formatCode="0.00;;&quot;-&quot;;"/>
    <numFmt numFmtId="235" formatCode="&quot;×&quot;0.00&quot;×&quot;"/>
    <numFmt numFmtId="236" formatCode="&quot;×&quot;0.00&quot;×&quot;;&quot;×-&quot;0.00&quot;×&quot;;"/>
    <numFmt numFmtId="237" formatCode="&quot;×&quot;0.00;;"/>
    <numFmt numFmtId="238" formatCode="&quot;× &quot;0.0"/>
    <numFmt numFmtId="239" formatCode="#,##0.0"/>
    <numFmt numFmtId="240" formatCode="0.0;\-0.0;;"/>
    <numFmt numFmtId="241" formatCode="0.00;\-0.00;;"/>
    <numFmt numFmtId="242" formatCode="###&quot;)&quot;"/>
  </numFmts>
  <fonts count="59">
    <font>
      <sz val="9"/>
      <color theme="1"/>
      <name val="メイリオ"/>
      <family val="2"/>
      <charset val="128"/>
    </font>
    <font>
      <b/>
      <sz val="9"/>
      <color theme="1"/>
      <name val="メイリオ"/>
      <family val="2"/>
      <charset val="128"/>
    </font>
    <font>
      <sz val="11"/>
      <name val="ＭＳ Ｐゴシック"/>
      <family val="3"/>
      <charset val="128"/>
    </font>
    <font>
      <sz val="6"/>
      <name val="メイリオ"/>
      <family val="2"/>
      <charset val="128"/>
    </font>
    <font>
      <sz val="9.5"/>
      <name val="ＭＳ Ｐゴシック"/>
      <family val="3"/>
      <charset val="128"/>
    </font>
    <font>
      <sz val="9"/>
      <name val="ＭＳ Ｐゴシック"/>
      <family val="3"/>
      <charset val="128"/>
    </font>
    <font>
      <b/>
      <sz val="14"/>
      <name val="ＭＳ Ｐゴシック"/>
      <family val="3"/>
      <charset val="128"/>
    </font>
    <font>
      <sz val="9"/>
      <name val="ＭＳ ゴシック"/>
      <family val="3"/>
      <charset val="128"/>
    </font>
    <font>
      <b/>
      <sz val="16"/>
      <name val="ＭＳ Ｐゴシック"/>
      <family val="3"/>
      <charset val="128"/>
    </font>
    <font>
      <sz val="11"/>
      <color theme="1"/>
      <name val="游ゴシック"/>
      <family val="2"/>
      <charset val="128"/>
      <scheme val="minor"/>
    </font>
    <font>
      <sz val="10"/>
      <name val="ＭＳ Ｐゴシック"/>
      <family val="3"/>
      <charset val="128"/>
    </font>
    <font>
      <sz val="14"/>
      <name val="ＭＳ Ｐゴシック"/>
      <family val="3"/>
      <charset val="128"/>
    </font>
    <font>
      <sz val="6"/>
      <name val="ＭＳ Ｐゴシック"/>
      <family val="3"/>
      <charset val="128"/>
    </font>
    <font>
      <sz val="9"/>
      <name val="游ゴシック Light"/>
      <family val="3"/>
      <charset val="128"/>
      <scheme val="major"/>
    </font>
    <font>
      <sz val="8"/>
      <name val="ＭＳ Ｐゴシック"/>
      <family val="3"/>
      <charset val="128"/>
    </font>
    <font>
      <sz val="9"/>
      <name val="ＭＳ 明朝"/>
      <family val="1"/>
      <charset val="128"/>
    </font>
    <font>
      <sz val="14"/>
      <name val="游ゴシック Light"/>
      <family val="3"/>
      <charset val="128"/>
      <scheme val="major"/>
    </font>
    <font>
      <sz val="8"/>
      <name val="游ゴシック Light"/>
      <family val="3"/>
      <charset val="128"/>
      <scheme val="major"/>
    </font>
    <font>
      <b/>
      <sz val="9"/>
      <name val="ＭＳ Ｐゴシック"/>
      <family val="3"/>
      <charset val="128"/>
    </font>
    <font>
      <sz val="9"/>
      <color indexed="8"/>
      <name val="游ゴシック Light"/>
      <family val="3"/>
      <charset val="128"/>
      <scheme val="major"/>
    </font>
    <font>
      <u/>
      <sz val="9"/>
      <name val="游ゴシック Light"/>
      <family val="3"/>
      <charset val="128"/>
      <scheme val="major"/>
    </font>
    <font>
      <b/>
      <u/>
      <sz val="9"/>
      <name val="游ゴシック Light"/>
      <family val="3"/>
      <charset val="128"/>
      <scheme val="major"/>
    </font>
    <font>
      <b/>
      <sz val="9"/>
      <name val="游ゴシック Light"/>
      <family val="3"/>
      <charset val="128"/>
      <scheme val="major"/>
    </font>
    <font>
      <b/>
      <sz val="12"/>
      <name val="游ゴシック Light"/>
      <family val="3"/>
      <charset val="128"/>
      <scheme val="major"/>
    </font>
    <font>
      <sz val="11"/>
      <name val="明朝"/>
      <family val="1"/>
      <charset val="128"/>
    </font>
    <font>
      <i/>
      <sz val="9"/>
      <name val="游ゴシック Light"/>
      <family val="3"/>
      <charset val="128"/>
      <scheme val="major"/>
    </font>
    <font>
      <b/>
      <sz val="10"/>
      <name val="游ゴシック Light"/>
      <family val="3"/>
      <charset val="128"/>
      <scheme val="major"/>
    </font>
    <font>
      <sz val="10"/>
      <name val="游ゴシック Light"/>
      <family val="3"/>
      <charset val="128"/>
      <scheme val="major"/>
    </font>
    <font>
      <b/>
      <sz val="14"/>
      <name val="游ゴシック Light"/>
      <family val="3"/>
      <charset val="128"/>
      <scheme val="major"/>
    </font>
    <font>
      <sz val="11"/>
      <name val="游ゴシック Light"/>
      <family val="3"/>
      <charset val="128"/>
      <scheme val="major"/>
    </font>
    <font>
      <sz val="9"/>
      <name val="明朝"/>
      <family val="1"/>
      <charset val="128"/>
    </font>
    <font>
      <b/>
      <sz val="10"/>
      <name val="ＭＳ Ｐゴシック"/>
      <family val="3"/>
      <charset val="128"/>
    </font>
    <font>
      <b/>
      <sz val="24"/>
      <name val="ＭＳ Ｐゴシック"/>
      <family val="3"/>
      <charset val="128"/>
    </font>
    <font>
      <sz val="24"/>
      <name val="ＭＳ Ｐゴシック"/>
      <family val="3"/>
      <charset val="128"/>
    </font>
    <font>
      <vertAlign val="superscript"/>
      <sz val="9"/>
      <name val="ＭＳ Ｐゴシック"/>
      <family val="3"/>
      <charset val="128"/>
    </font>
    <font>
      <sz val="10"/>
      <color theme="1"/>
      <name val="游ゴシック"/>
      <family val="2"/>
      <charset val="128"/>
      <scheme val="minor"/>
    </font>
    <font>
      <sz val="6"/>
      <name val="游ゴシック"/>
      <family val="2"/>
      <charset val="128"/>
      <scheme val="minor"/>
    </font>
    <font>
      <sz val="9"/>
      <color theme="1"/>
      <name val="游ゴシック"/>
      <family val="3"/>
      <charset val="128"/>
      <scheme val="minor"/>
    </font>
    <font>
      <sz val="9"/>
      <color theme="1"/>
      <name val="メイリオ"/>
      <family val="3"/>
      <charset val="128"/>
    </font>
    <font>
      <sz val="13.5"/>
      <name val="System"/>
      <charset val="128"/>
    </font>
    <font>
      <sz val="9"/>
      <name val="メイリオ"/>
      <family val="3"/>
      <charset val="128"/>
    </font>
    <font>
      <sz val="14"/>
      <color theme="1"/>
      <name val="游ゴシック"/>
      <family val="3"/>
      <charset val="128"/>
      <scheme val="minor"/>
    </font>
    <font>
      <sz val="14"/>
      <color theme="1"/>
      <name val="メイリオ"/>
      <family val="3"/>
      <charset val="128"/>
    </font>
    <font>
      <b/>
      <sz val="11"/>
      <color theme="1"/>
      <name val="メイリオ"/>
      <family val="3"/>
      <charset val="128"/>
    </font>
    <font>
      <sz val="10"/>
      <name val="明朝"/>
      <family val="1"/>
      <charset val="128"/>
    </font>
    <font>
      <sz val="9"/>
      <color indexed="9"/>
      <name val="ＭＳ Ｐゴシック"/>
      <family val="3"/>
      <charset val="128"/>
    </font>
    <font>
      <i/>
      <sz val="9"/>
      <name val="ＭＳ Ｐゴシック"/>
      <family val="3"/>
      <charset val="128"/>
    </font>
    <font>
      <sz val="9"/>
      <color indexed="81"/>
      <name val="Meiryo UI"/>
      <family val="3"/>
      <charset val="128"/>
    </font>
    <font>
      <sz val="16"/>
      <color theme="1"/>
      <name val="游ゴシック"/>
      <family val="3"/>
      <charset val="128"/>
      <scheme val="minor"/>
    </font>
    <font>
      <sz val="16"/>
      <name val="ＭＳ Ｐゴシック"/>
      <family val="3"/>
      <charset val="128"/>
    </font>
    <font>
      <b/>
      <u/>
      <sz val="9"/>
      <color rgb="FFFF0000"/>
      <name val="ＭＳ Ｐゴシック"/>
      <family val="3"/>
      <charset val="128"/>
    </font>
    <font>
      <b/>
      <vertAlign val="superscript"/>
      <sz val="9"/>
      <name val="ＭＳ Ｐゴシック"/>
      <family val="3"/>
      <charset val="128"/>
    </font>
    <font>
      <sz val="11"/>
      <color theme="1"/>
      <name val="游ゴシック"/>
      <family val="3"/>
      <charset val="128"/>
      <scheme val="minor"/>
    </font>
    <font>
      <b/>
      <sz val="11"/>
      <name val="ＭＳ Ｐゴシック"/>
      <family val="3"/>
      <charset val="128"/>
    </font>
    <font>
      <sz val="12"/>
      <color theme="1"/>
      <name val="游ゴシック"/>
      <family val="3"/>
      <charset val="128"/>
      <scheme val="minor"/>
    </font>
    <font>
      <sz val="12"/>
      <name val="ＭＳ Ｐゴシック"/>
      <family val="3"/>
      <charset val="128"/>
    </font>
    <font>
      <b/>
      <sz val="12"/>
      <name val="ＭＳ Ｐゴシック"/>
      <family val="3"/>
      <charset val="128"/>
    </font>
    <font>
      <sz val="20"/>
      <name val="ＭＳ Ｐゴシック"/>
      <family val="3"/>
      <charset val="128"/>
    </font>
    <font>
      <b/>
      <sz val="18"/>
      <name val="ＭＳ Ｐゴシック"/>
      <family val="3"/>
      <charset val="128"/>
    </font>
  </fonts>
  <fills count="27">
    <fill>
      <patternFill patternType="none"/>
    </fill>
    <fill>
      <patternFill patternType="gray125"/>
    </fill>
    <fill>
      <gradientFill degree="270">
        <stop position="0">
          <color rgb="FFFFFFFF"/>
        </stop>
        <stop position="1">
          <color rgb="FFB2B2B2"/>
        </stop>
      </gradientFill>
    </fill>
    <fill>
      <gradientFill degree="90">
        <stop position="0">
          <color rgb="FFFFFFFF"/>
        </stop>
        <stop position="1">
          <color rgb="FFB2B2B2"/>
        </stop>
      </gradientFill>
    </fill>
    <fill>
      <patternFill patternType="solid">
        <fgColor rgb="FFCCFFCC"/>
        <bgColor indexed="64"/>
      </patternFill>
    </fill>
    <fill>
      <patternFill patternType="solid">
        <fgColor rgb="FFCCECFF"/>
        <bgColor indexed="64"/>
      </patternFill>
    </fill>
    <fill>
      <patternFill patternType="solid">
        <fgColor rgb="FFCCCCFF"/>
        <bgColor indexed="64"/>
      </patternFill>
    </fill>
    <fill>
      <patternFill patternType="solid">
        <fgColor rgb="FFEAEAEA"/>
        <bgColor indexed="64"/>
      </patternFill>
    </fill>
    <fill>
      <patternFill patternType="solid">
        <fgColor rgb="FFFFCC99"/>
        <bgColor indexed="64"/>
      </patternFill>
    </fill>
    <fill>
      <patternFill patternType="solid">
        <fgColor rgb="FFFFCCCC"/>
        <bgColor indexed="64"/>
      </patternFill>
    </fill>
    <fill>
      <patternFill patternType="solid">
        <fgColor indexed="9"/>
        <bgColor indexed="64"/>
      </patternFill>
    </fill>
    <fill>
      <patternFill patternType="gray125">
        <fgColor indexed="10"/>
      </patternFill>
    </fill>
    <fill>
      <patternFill patternType="solid">
        <fgColor rgb="FFEAEAEA"/>
        <bgColor auto="1"/>
      </patternFill>
    </fill>
    <fill>
      <gradientFill degree="90">
        <stop position="0">
          <color rgb="FFFFFFFF"/>
        </stop>
        <stop position="1">
          <color rgb="FFCCFFCC"/>
        </stop>
      </gradientFill>
    </fill>
    <fill>
      <gradientFill degree="90">
        <stop position="0">
          <color rgb="FFFFFFFF"/>
        </stop>
        <stop position="1">
          <color rgb="FFCCECFF"/>
        </stop>
      </gradientFill>
    </fill>
    <fill>
      <gradientFill degree="90">
        <stop position="0">
          <color rgb="FFFFFFFF"/>
        </stop>
        <stop position="1">
          <color rgb="FFCCCCFF"/>
        </stop>
      </gradientFill>
    </fill>
    <fill>
      <gradientFill degree="90">
        <stop position="0">
          <color rgb="FFFFFFFF"/>
        </stop>
        <stop position="1">
          <color rgb="FFFFCC99"/>
        </stop>
      </gradientFill>
    </fill>
    <fill>
      <gradientFill degree="90">
        <stop position="0">
          <color rgb="FFFFFFFF"/>
        </stop>
        <stop position="1">
          <color rgb="FFFFCCCC"/>
        </stop>
      </gradientFill>
    </fill>
    <fill>
      <gradientFill>
        <stop position="0">
          <color rgb="FFFFFFFF"/>
        </stop>
        <stop position="1">
          <color rgb="FFC0C0C0"/>
        </stop>
      </gradientFill>
    </fill>
    <fill>
      <gradientFill>
        <stop position="0">
          <color rgb="FFFFFFFF"/>
        </stop>
        <stop position="1">
          <color rgb="FFEAEAEA"/>
        </stop>
      </gradientFill>
    </fill>
    <fill>
      <gradientFill degree="270">
        <stop position="0">
          <color rgb="FFFFFFFF"/>
        </stop>
        <stop position="1">
          <color rgb="FFC0C0C0"/>
        </stop>
      </gradientFill>
    </fill>
    <fill>
      <patternFill patternType="solid">
        <fgColor rgb="FFFFCCFF"/>
        <bgColor indexed="64"/>
      </patternFill>
    </fill>
    <fill>
      <patternFill patternType="solid">
        <fgColor rgb="FFCCFFFF"/>
        <bgColor indexed="64"/>
      </patternFill>
    </fill>
    <fill>
      <gradientFill degree="90">
        <stop position="0">
          <color rgb="FFEAEAEA"/>
        </stop>
        <stop position="1">
          <color rgb="FFFFFFFF"/>
        </stop>
      </gradientFill>
    </fill>
    <fill>
      <gradientFill degree="270">
        <stop position="0">
          <color rgb="FFFFFFFF"/>
        </stop>
        <stop position="1">
          <color rgb="FFCCFFCC"/>
        </stop>
      </gradientFill>
    </fill>
    <fill>
      <gradientFill degree="270">
        <stop position="0">
          <color rgb="FFFFFFFF"/>
        </stop>
        <stop position="1">
          <color rgb="FFCCECFF"/>
        </stop>
      </gradientFill>
    </fill>
    <fill>
      <gradientFill degree="270">
        <stop position="0">
          <color rgb="FFFFFFFF"/>
        </stop>
        <stop position="1">
          <color rgb="FFCCCCFF"/>
        </stop>
      </gradientFill>
    </fill>
  </fills>
  <borders count="457">
    <border>
      <left/>
      <right/>
      <top/>
      <bottom/>
      <diagonal/>
    </border>
    <border>
      <left style="thin">
        <color rgb="FFDDDDDD"/>
      </left>
      <right style="thin">
        <color rgb="FF808080"/>
      </right>
      <top style="thin">
        <color rgb="FFF8F8F8"/>
      </top>
      <bottom style="thin">
        <color rgb="FF777777"/>
      </bottom>
      <diagonal/>
    </border>
    <border>
      <left style="thin">
        <color rgb="FFDDDDDD"/>
      </left>
      <right/>
      <top style="thin">
        <color rgb="FFF8F8F8"/>
      </top>
      <bottom style="thin">
        <color rgb="FF777777"/>
      </bottom>
      <diagonal/>
    </border>
    <border>
      <left/>
      <right/>
      <top style="thin">
        <color rgb="FFF8F8F8"/>
      </top>
      <bottom style="thin">
        <color rgb="FF777777"/>
      </bottom>
      <diagonal/>
    </border>
    <border>
      <left/>
      <right style="thin">
        <color rgb="FF808080"/>
      </right>
      <top style="thin">
        <color rgb="FFF8F8F8"/>
      </top>
      <bottom style="thin">
        <color rgb="FF777777"/>
      </bottom>
      <diagonal/>
    </border>
    <border>
      <left style="thin">
        <color rgb="FFDDDDDD"/>
      </left>
      <right style="thin">
        <color rgb="FF777777"/>
      </right>
      <top style="thin">
        <color rgb="FFF8F8F8"/>
      </top>
      <bottom/>
      <diagonal/>
    </border>
    <border>
      <left style="thin">
        <color rgb="FF777777"/>
      </left>
      <right style="thin">
        <color rgb="FF777777"/>
      </right>
      <top style="thin">
        <color rgb="FFF8F8F8"/>
      </top>
      <bottom/>
      <diagonal/>
    </border>
    <border>
      <left style="thin">
        <color rgb="FF777777"/>
      </left>
      <right style="thin">
        <color rgb="FF808080"/>
      </right>
      <top style="thin">
        <color rgb="FFF8F8F8"/>
      </top>
      <bottom/>
      <diagonal/>
    </border>
    <border>
      <left style="thin">
        <color rgb="FFDDDDDD"/>
      </left>
      <right style="thin">
        <color rgb="FF777777"/>
      </right>
      <top style="thin">
        <color rgb="FFF8F8F8"/>
      </top>
      <bottom style="thin">
        <color rgb="FF777777"/>
      </bottom>
      <diagonal/>
    </border>
    <border>
      <left style="thin">
        <color rgb="FF777777"/>
      </left>
      <right style="thin">
        <color rgb="FF777777"/>
      </right>
      <top style="thin">
        <color rgb="FFF8F8F8"/>
      </top>
      <bottom style="thin">
        <color rgb="FF777777"/>
      </bottom>
      <diagonal/>
    </border>
    <border>
      <left style="thin">
        <color rgb="FF777777"/>
      </left>
      <right style="thin">
        <color rgb="FF808080"/>
      </right>
      <top style="thin">
        <color rgb="FFF8F8F8"/>
      </top>
      <bottom style="thin">
        <color rgb="FF777777"/>
      </bottom>
      <diagonal/>
    </border>
    <border>
      <left style="thin">
        <color rgb="FFDDDDDD"/>
      </left>
      <right style="thin">
        <color rgb="FF777777"/>
      </right>
      <top style="thin">
        <color rgb="FF777777"/>
      </top>
      <bottom style="thin">
        <color rgb="FF777777"/>
      </bottom>
      <diagonal/>
    </border>
    <border>
      <left style="thin">
        <color rgb="FF777777"/>
      </left>
      <right style="thin">
        <color rgb="FF777777"/>
      </right>
      <top style="thin">
        <color rgb="FF777777"/>
      </top>
      <bottom style="thin">
        <color rgb="FF777777"/>
      </bottom>
      <diagonal/>
    </border>
    <border>
      <left style="thin">
        <color rgb="FF777777"/>
      </left>
      <right style="thin">
        <color rgb="FF808080"/>
      </right>
      <top style="thin">
        <color rgb="FF777777"/>
      </top>
      <bottom style="thin">
        <color rgb="FF777777"/>
      </bottom>
      <diagonal/>
    </border>
    <border>
      <left style="thin">
        <color rgb="FFDDDDDD"/>
      </left>
      <right style="thin">
        <color rgb="FF777777"/>
      </right>
      <top/>
      <bottom style="thin">
        <color rgb="FF777777"/>
      </bottom>
      <diagonal/>
    </border>
    <border>
      <left style="thin">
        <color rgb="FF777777"/>
      </left>
      <right style="thin">
        <color rgb="FF777777"/>
      </right>
      <top/>
      <bottom style="thin">
        <color rgb="FF777777"/>
      </bottom>
      <diagonal/>
    </border>
    <border>
      <left style="thin">
        <color rgb="FF777777"/>
      </left>
      <right style="thin">
        <color rgb="FF808080"/>
      </right>
      <top/>
      <bottom style="thin">
        <color rgb="FF777777"/>
      </bottom>
      <diagonal/>
    </border>
    <border>
      <left style="thin">
        <color rgb="FFDDDDDD"/>
      </left>
      <right style="thin">
        <color rgb="FF808080"/>
      </right>
      <top style="medium">
        <color rgb="FFF8F8F8"/>
      </top>
      <bottom style="thin">
        <color rgb="FF777777"/>
      </bottom>
      <diagonal/>
    </border>
    <border>
      <left style="thin">
        <color rgb="FF777777"/>
      </left>
      <right style="thin">
        <color rgb="FF777777"/>
      </right>
      <top style="thin">
        <color rgb="FFC0C0C0"/>
      </top>
      <bottom style="thin">
        <color rgb="FF777777"/>
      </bottom>
      <diagonal/>
    </border>
    <border>
      <left style="thin">
        <color rgb="FF777777"/>
      </left>
      <right style="thin">
        <color rgb="FF808080"/>
      </right>
      <top style="thin">
        <color rgb="FFC0C0C0"/>
      </top>
      <bottom style="thin">
        <color rgb="FF777777"/>
      </bottom>
      <diagonal/>
    </border>
    <border>
      <left/>
      <right/>
      <top/>
      <bottom style="thin">
        <color auto="1"/>
      </bottom>
      <diagonal/>
    </border>
    <border>
      <left style="thin">
        <color rgb="FFDDDDDD"/>
      </left>
      <right/>
      <top style="medium">
        <color rgb="FFF8F8F8"/>
      </top>
      <bottom style="thin">
        <color rgb="FF777777"/>
      </bottom>
      <diagonal/>
    </border>
    <border>
      <left/>
      <right/>
      <top style="medium">
        <color rgb="FFF8F8F8"/>
      </top>
      <bottom style="thin">
        <color rgb="FF777777"/>
      </bottom>
      <diagonal/>
    </border>
    <border>
      <left/>
      <right style="thin">
        <color rgb="FF808080"/>
      </right>
      <top style="medium">
        <color rgb="FFF8F8F8"/>
      </top>
      <bottom style="thin">
        <color rgb="FF777777"/>
      </bottom>
      <diagonal/>
    </border>
    <border>
      <left style="thin">
        <color rgb="FFDDDDDD"/>
      </left>
      <right style="thin">
        <color rgb="FF808080"/>
      </right>
      <top style="thin">
        <color rgb="FFF8F8F8"/>
      </top>
      <bottom/>
      <diagonal/>
    </border>
    <border>
      <left/>
      <right style="hair">
        <color indexed="64"/>
      </right>
      <top style="thin">
        <color rgb="FFF8F8F8"/>
      </top>
      <bottom/>
      <diagonal/>
    </border>
    <border>
      <left style="hair">
        <color indexed="64"/>
      </left>
      <right style="hair">
        <color indexed="64"/>
      </right>
      <top style="thin">
        <color rgb="FFF8F8F8"/>
      </top>
      <bottom/>
      <diagonal/>
    </border>
    <border>
      <left style="hair">
        <color indexed="64"/>
      </left>
      <right style="thin">
        <color rgb="FF808080"/>
      </right>
      <top style="thin">
        <color rgb="FFF8F8F8"/>
      </top>
      <bottom/>
      <diagonal/>
    </border>
    <border>
      <left style="thin">
        <color rgb="FFDDDDDD"/>
      </left>
      <right style="thin">
        <color rgb="FF808080"/>
      </right>
      <top style="thin">
        <color rgb="FF777777"/>
      </top>
      <bottom style="thin">
        <color rgb="FF777777"/>
      </bottom>
      <diagonal/>
    </border>
    <border>
      <left style="thin">
        <color rgb="FF808080"/>
      </left>
      <right style="hair">
        <color rgb="FF808080"/>
      </right>
      <top style="thin">
        <color rgb="FF777777"/>
      </top>
      <bottom style="thin">
        <color rgb="FF777777"/>
      </bottom>
      <diagonal/>
    </border>
    <border>
      <left style="hair">
        <color rgb="FF808080"/>
      </left>
      <right style="hair">
        <color rgb="FF808080"/>
      </right>
      <top style="thin">
        <color rgb="FF777777"/>
      </top>
      <bottom style="thin">
        <color rgb="FF777777"/>
      </bottom>
      <diagonal/>
    </border>
    <border>
      <left/>
      <right style="thin">
        <color rgb="FF808080"/>
      </right>
      <top style="thin">
        <color rgb="FF777777"/>
      </top>
      <bottom style="thin">
        <color rgb="FF777777"/>
      </bottom>
      <diagonal/>
    </border>
    <border>
      <left style="thin">
        <color rgb="FFDDDDDD"/>
      </left>
      <right style="thin">
        <color rgb="FF808080"/>
      </right>
      <top style="thin">
        <color rgb="FF777777"/>
      </top>
      <bottom/>
      <diagonal/>
    </border>
    <border>
      <left style="thin">
        <color rgb="FF808080"/>
      </left>
      <right/>
      <top style="thin">
        <color rgb="FFF8F8F8"/>
      </top>
      <bottom/>
      <diagonal/>
    </border>
    <border>
      <left/>
      <right/>
      <top style="thin">
        <color rgb="FFF8F8F8"/>
      </top>
      <bottom/>
      <diagonal/>
    </border>
    <border>
      <left/>
      <right style="thin">
        <color rgb="FF808080"/>
      </right>
      <top style="thin">
        <color rgb="FFF8F8F8"/>
      </top>
      <bottom/>
      <diagonal/>
    </border>
    <border>
      <left style="thin">
        <color rgb="FFDDDDDD"/>
      </left>
      <right style="thin">
        <color rgb="FF808080"/>
      </right>
      <top/>
      <bottom/>
      <diagonal/>
    </border>
    <border>
      <left style="thin">
        <color rgb="FF808080"/>
      </left>
      <right/>
      <top/>
      <bottom/>
      <diagonal/>
    </border>
    <border>
      <left/>
      <right style="thin">
        <color rgb="FF808080"/>
      </right>
      <top/>
      <bottom/>
      <diagonal/>
    </border>
    <border>
      <left style="thin">
        <color rgb="FFDDDDDD"/>
      </left>
      <right style="thin">
        <color rgb="FF808080"/>
      </right>
      <top/>
      <bottom style="thin">
        <color rgb="FF777777"/>
      </bottom>
      <diagonal/>
    </border>
    <border>
      <left/>
      <right style="hair">
        <color indexed="64"/>
      </right>
      <top/>
      <bottom/>
      <diagonal/>
    </border>
    <border>
      <left style="thin">
        <color rgb="FF808080"/>
      </left>
      <right/>
      <top/>
      <bottom style="thin">
        <color rgb="FF777777"/>
      </bottom>
      <diagonal/>
    </border>
    <border>
      <left style="hair">
        <color indexed="64"/>
      </left>
      <right/>
      <top/>
      <bottom style="thin">
        <color rgb="FF777777"/>
      </bottom>
      <diagonal/>
    </border>
    <border>
      <left style="thin">
        <color rgb="FF808080"/>
      </left>
      <right style="hair">
        <color indexed="64"/>
      </right>
      <top/>
      <bottom style="thin">
        <color rgb="FF777777"/>
      </bottom>
      <diagonal/>
    </border>
    <border>
      <left style="hair">
        <color indexed="64"/>
      </left>
      <right style="thin">
        <color rgb="FF808080"/>
      </right>
      <top/>
      <bottom style="thin">
        <color rgb="FF777777"/>
      </bottom>
      <diagonal/>
    </border>
    <border>
      <left/>
      <right style="hair">
        <color indexed="64"/>
      </right>
      <top/>
      <bottom style="thin">
        <color rgb="FF777777"/>
      </bottom>
      <diagonal/>
    </border>
    <border>
      <left style="hair">
        <color indexed="64"/>
      </left>
      <right style="thin">
        <color rgb="FF808080"/>
      </right>
      <top/>
      <bottom/>
      <diagonal/>
    </border>
    <border>
      <left style="thin">
        <color rgb="FF808080"/>
      </left>
      <right style="thin">
        <color rgb="FF777777"/>
      </right>
      <top style="thin">
        <color rgb="FF777777"/>
      </top>
      <bottom/>
      <diagonal/>
    </border>
    <border>
      <left style="thin">
        <color rgb="FF777777"/>
      </left>
      <right style="thin">
        <color rgb="FF777777"/>
      </right>
      <top/>
      <bottom/>
      <diagonal/>
    </border>
    <border>
      <left/>
      <right style="thin">
        <color rgb="FF777777"/>
      </right>
      <top/>
      <bottom style="thin">
        <color rgb="FF777777"/>
      </bottom>
      <diagonal/>
    </border>
    <border>
      <left style="thin">
        <color rgb="FF777777"/>
      </left>
      <right style="thin">
        <color rgb="FF777777"/>
      </right>
      <top style="thin">
        <color rgb="FF777777"/>
      </top>
      <bottom/>
      <diagonal/>
    </border>
    <border>
      <left style="thin">
        <color rgb="FF808080"/>
      </left>
      <right style="thin">
        <color rgb="FF777777"/>
      </right>
      <top/>
      <bottom/>
      <diagonal/>
    </border>
    <border diagonalUp="1">
      <left style="thin">
        <color rgb="FF777777"/>
      </left>
      <right style="thin">
        <color rgb="FF777777"/>
      </right>
      <top style="thin">
        <color rgb="FF777777"/>
      </top>
      <bottom style="thin">
        <color rgb="FF777777"/>
      </bottom>
      <diagonal style="thin">
        <color rgb="FF777777"/>
      </diagonal>
    </border>
    <border>
      <left style="thin">
        <color rgb="FF808080"/>
      </left>
      <right style="thin">
        <color rgb="FF777777"/>
      </right>
      <top/>
      <bottom style="thin">
        <color rgb="FF777777"/>
      </bottom>
      <diagonal/>
    </border>
    <border>
      <left style="thin">
        <color rgb="FF808080"/>
      </left>
      <right/>
      <top style="thin">
        <color rgb="FFF8F8F8"/>
      </top>
      <bottom style="thin">
        <color rgb="FF777777"/>
      </bottom>
      <diagonal/>
    </border>
    <border>
      <left style="thin">
        <color rgb="FF808080"/>
      </left>
      <right style="thin">
        <color rgb="FF808080"/>
      </right>
      <top style="thin">
        <color rgb="FFF8F8F8"/>
      </top>
      <bottom/>
      <diagonal/>
    </border>
    <border>
      <left/>
      <right/>
      <top/>
      <bottom style="thin">
        <color rgb="FF777777"/>
      </bottom>
      <diagonal/>
    </border>
    <border>
      <left/>
      <right style="thin">
        <color rgb="FF808080"/>
      </right>
      <top/>
      <bottom style="thin">
        <color rgb="FF777777"/>
      </bottom>
      <diagonal/>
    </border>
    <border>
      <left style="thin">
        <color rgb="FFDDDDDD"/>
      </left>
      <right/>
      <top style="thin">
        <color rgb="FF777777"/>
      </top>
      <bottom style="thin">
        <color rgb="FF777777"/>
      </bottom>
      <diagonal/>
    </border>
    <border>
      <left style="thin">
        <color rgb="FF808080"/>
      </left>
      <right/>
      <top style="thin">
        <color rgb="FF777777"/>
      </top>
      <bottom style="thin">
        <color rgb="FF777777"/>
      </bottom>
      <diagonal/>
    </border>
    <border>
      <left style="thin">
        <color rgb="FF808080"/>
      </left>
      <right style="thin">
        <color rgb="FF808080"/>
      </right>
      <top style="thin">
        <color rgb="FF777777"/>
      </top>
      <bottom style="thin">
        <color rgb="FF777777"/>
      </bottom>
      <diagonal/>
    </border>
    <border>
      <left/>
      <right/>
      <top style="thin">
        <color rgb="FF777777"/>
      </top>
      <bottom style="thin">
        <color rgb="FF777777"/>
      </bottom>
      <diagonal/>
    </border>
    <border>
      <left style="hair">
        <color indexed="64"/>
      </left>
      <right style="hair">
        <color indexed="64"/>
      </right>
      <top/>
      <bottom/>
      <diagonal/>
    </border>
    <border>
      <left style="thin">
        <color rgb="FFDDDDDD"/>
      </left>
      <right style="thin">
        <color rgb="FF808080"/>
      </right>
      <top style="thin">
        <color rgb="FF777777"/>
      </top>
      <bottom style="hair">
        <color indexed="64"/>
      </bottom>
      <diagonal/>
    </border>
    <border>
      <left/>
      <right style="hair">
        <color indexed="64"/>
      </right>
      <top style="thin">
        <color rgb="FF777777"/>
      </top>
      <bottom style="hair">
        <color indexed="64"/>
      </bottom>
      <diagonal/>
    </border>
    <border>
      <left style="hair">
        <color indexed="64"/>
      </left>
      <right style="hair">
        <color indexed="64"/>
      </right>
      <top style="thin">
        <color rgb="FF777777"/>
      </top>
      <bottom style="hair">
        <color indexed="64"/>
      </bottom>
      <diagonal/>
    </border>
    <border>
      <left style="hair">
        <color indexed="64"/>
      </left>
      <right style="thin">
        <color rgb="FF808080"/>
      </right>
      <top style="thin">
        <color rgb="FF777777"/>
      </top>
      <bottom style="hair">
        <color indexed="64"/>
      </bottom>
      <diagonal/>
    </border>
    <border>
      <left style="thin">
        <color rgb="FFDDDDDD"/>
      </left>
      <right style="thin">
        <color rgb="FF808080"/>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rgb="FF808080"/>
      </right>
      <top style="hair">
        <color indexed="64"/>
      </top>
      <bottom style="hair">
        <color indexed="64"/>
      </bottom>
      <diagonal/>
    </border>
    <border>
      <left style="thin">
        <color rgb="FFDDDDDD"/>
      </left>
      <right style="thin">
        <color rgb="FF808080"/>
      </right>
      <top style="hair">
        <color indexed="64"/>
      </top>
      <bottom style="thin">
        <color rgb="FF777777"/>
      </bottom>
      <diagonal/>
    </border>
    <border>
      <left/>
      <right style="hair">
        <color indexed="64"/>
      </right>
      <top style="hair">
        <color indexed="64"/>
      </top>
      <bottom style="thin">
        <color rgb="FF777777"/>
      </bottom>
      <diagonal/>
    </border>
    <border>
      <left style="hair">
        <color indexed="64"/>
      </left>
      <right style="hair">
        <color indexed="64"/>
      </right>
      <top style="hair">
        <color indexed="64"/>
      </top>
      <bottom style="thin">
        <color rgb="FF777777"/>
      </bottom>
      <diagonal/>
    </border>
    <border>
      <left style="hair">
        <color indexed="64"/>
      </left>
      <right style="thin">
        <color rgb="FF808080"/>
      </right>
      <top style="hair">
        <color indexed="64"/>
      </top>
      <bottom style="thin">
        <color rgb="FF777777"/>
      </bottom>
      <diagonal/>
    </border>
    <border>
      <left style="thin">
        <color rgb="FFDDDDDD"/>
      </left>
      <right/>
      <top style="thin">
        <color rgb="FFF8F8F8"/>
      </top>
      <bottom/>
      <diagonal/>
    </border>
    <border>
      <left style="thin">
        <color rgb="FFDDDDDD"/>
      </left>
      <right/>
      <top style="thin">
        <color rgb="FF777777"/>
      </top>
      <bottom style="hair">
        <color indexed="64"/>
      </bottom>
      <diagonal/>
    </border>
    <border>
      <left/>
      <right/>
      <top style="thin">
        <color rgb="FF777777"/>
      </top>
      <bottom style="hair">
        <color indexed="64"/>
      </bottom>
      <diagonal/>
    </border>
    <border>
      <left style="thin">
        <color rgb="FFDDDDDD"/>
      </left>
      <right/>
      <top style="hair">
        <color auto="1"/>
      </top>
      <bottom style="hair">
        <color auto="1"/>
      </bottom>
      <diagonal/>
    </border>
    <border>
      <left/>
      <right/>
      <top style="hair">
        <color indexed="64"/>
      </top>
      <bottom style="hair">
        <color indexed="64"/>
      </bottom>
      <diagonal/>
    </border>
    <border>
      <left style="thin">
        <color rgb="FFDDDDDD"/>
      </left>
      <right/>
      <top style="hair">
        <color indexed="64"/>
      </top>
      <bottom style="thin">
        <color rgb="FF777777"/>
      </bottom>
      <diagonal/>
    </border>
    <border>
      <left/>
      <right/>
      <top style="hair">
        <color indexed="64"/>
      </top>
      <bottom style="thin">
        <color rgb="FF777777"/>
      </bottom>
      <diagonal/>
    </border>
    <border>
      <left style="thin">
        <color rgb="FFDDDDDD"/>
      </left>
      <right style="thin">
        <color indexed="23"/>
      </right>
      <top style="thin">
        <color rgb="FFF8F8F8"/>
      </top>
      <bottom/>
      <diagonal/>
    </border>
    <border>
      <left style="thin">
        <color indexed="23"/>
      </left>
      <right style="thin">
        <color indexed="23"/>
      </right>
      <top style="thin">
        <color rgb="FFF8F8F8"/>
      </top>
      <bottom/>
      <diagonal/>
    </border>
    <border>
      <left/>
      <right/>
      <top style="thin">
        <color rgb="FFF8F8F8"/>
      </top>
      <bottom style="hair">
        <color auto="1"/>
      </bottom>
      <diagonal/>
    </border>
    <border>
      <left/>
      <right style="thin">
        <color rgb="FF808080"/>
      </right>
      <top style="thin">
        <color rgb="FFF8F8F8"/>
      </top>
      <bottom style="hair">
        <color auto="1"/>
      </bottom>
      <diagonal/>
    </border>
    <border>
      <left style="thin">
        <color rgb="FFDDDDDD"/>
      </left>
      <right style="thin">
        <color indexed="23"/>
      </right>
      <top/>
      <bottom/>
      <diagonal/>
    </border>
    <border>
      <left style="thin">
        <color indexed="23"/>
      </left>
      <right style="thin">
        <color indexed="23"/>
      </right>
      <top/>
      <bottom style="thin">
        <color rgb="FF777777"/>
      </bottom>
      <diagonal/>
    </border>
    <border>
      <left/>
      <right style="thin">
        <color indexed="23"/>
      </right>
      <top style="hair">
        <color auto="1"/>
      </top>
      <bottom/>
      <diagonal/>
    </border>
    <border>
      <left style="thin">
        <color indexed="23"/>
      </left>
      <right style="thin">
        <color indexed="23"/>
      </right>
      <top style="hair">
        <color auto="1"/>
      </top>
      <bottom/>
      <diagonal/>
    </border>
    <border>
      <left style="thin">
        <color rgb="FFDDDDDD"/>
      </left>
      <right style="thin">
        <color indexed="23"/>
      </right>
      <top style="thin">
        <color rgb="FF777777"/>
      </top>
      <bottom style="thin">
        <color indexed="23"/>
      </bottom>
      <diagonal/>
    </border>
    <border>
      <left style="thin">
        <color indexed="23"/>
      </left>
      <right style="thin">
        <color indexed="23"/>
      </right>
      <top style="thin">
        <color rgb="FF777777"/>
      </top>
      <bottom style="thin">
        <color indexed="23"/>
      </bottom>
      <diagonal/>
    </border>
    <border>
      <left/>
      <right style="thin">
        <color rgb="FF808080"/>
      </right>
      <top style="thin">
        <color rgb="FF777777"/>
      </top>
      <bottom style="thin">
        <color indexed="23"/>
      </bottom>
      <diagonal/>
    </border>
    <border>
      <left style="thin">
        <color rgb="FFDDDDDD"/>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style="thin">
        <color rgb="FF808080"/>
      </right>
      <top style="thin">
        <color indexed="23"/>
      </top>
      <bottom style="thin">
        <color indexed="23"/>
      </bottom>
      <diagonal/>
    </border>
    <border>
      <left style="thin">
        <color rgb="FFDDDDDD"/>
      </left>
      <right/>
      <top/>
      <bottom/>
      <diagonal/>
    </border>
    <border>
      <left style="thin">
        <color rgb="FFDDDDDD"/>
      </left>
      <right/>
      <top/>
      <bottom style="thin">
        <color rgb="FF777777"/>
      </bottom>
      <diagonal/>
    </border>
    <border>
      <left style="thin">
        <color rgb="FFDDDDDD"/>
      </left>
      <right style="hair">
        <color indexed="64"/>
      </right>
      <top style="thin">
        <color rgb="FFF8F8F8"/>
      </top>
      <bottom style="hair">
        <color indexed="64"/>
      </bottom>
      <diagonal/>
    </border>
    <border>
      <left/>
      <right style="hair">
        <color indexed="64"/>
      </right>
      <top style="thin">
        <color rgb="FFF8F8F8"/>
      </top>
      <bottom style="hair">
        <color indexed="64"/>
      </bottom>
      <diagonal/>
    </border>
    <border>
      <left style="thin">
        <color rgb="FFDDDDDD"/>
      </left>
      <right style="hair">
        <color indexed="64"/>
      </right>
      <top/>
      <bottom/>
      <diagonal/>
    </border>
    <border>
      <left style="thin">
        <color rgb="FFDDDDDD"/>
      </left>
      <right style="hair">
        <color indexed="64"/>
      </right>
      <top style="thin">
        <color rgb="FF777777"/>
      </top>
      <bottom style="thin">
        <color rgb="FF777777"/>
      </bottom>
      <diagonal/>
    </border>
    <border>
      <left/>
      <right style="hair">
        <color indexed="64"/>
      </right>
      <top style="thin">
        <color rgb="FF777777"/>
      </top>
      <bottom style="thin">
        <color rgb="FF777777"/>
      </bottom>
      <diagonal/>
    </border>
    <border>
      <left style="thin">
        <color rgb="FFDDDDDD"/>
      </left>
      <right style="thin">
        <color rgb="FF808080"/>
      </right>
      <top style="medium">
        <color rgb="FFF8F8F8"/>
      </top>
      <bottom/>
      <diagonal/>
    </border>
    <border>
      <left style="thin">
        <color rgb="FFDDDDDD"/>
      </left>
      <right style="thin">
        <color rgb="FF808080"/>
      </right>
      <top style="thin">
        <color rgb="FF777777"/>
      </top>
      <bottom style="medium">
        <color indexed="23"/>
      </bottom>
      <diagonal/>
    </border>
    <border>
      <left/>
      <right style="hair">
        <color indexed="64"/>
      </right>
      <top style="thin">
        <color rgb="FF777777"/>
      </top>
      <bottom style="medium">
        <color indexed="23"/>
      </bottom>
      <diagonal/>
    </border>
    <border>
      <left style="hair">
        <color indexed="64"/>
      </left>
      <right style="hair">
        <color indexed="64"/>
      </right>
      <top style="thin">
        <color rgb="FF777777"/>
      </top>
      <bottom style="medium">
        <color indexed="23"/>
      </bottom>
      <diagonal/>
    </border>
    <border>
      <left style="hair">
        <color indexed="64"/>
      </left>
      <right style="thin">
        <color rgb="FF808080"/>
      </right>
      <top style="thin">
        <color rgb="FF777777"/>
      </top>
      <bottom style="medium">
        <color indexed="23"/>
      </bottom>
      <diagonal/>
    </border>
    <border>
      <left style="thin">
        <color rgb="FFDDDDDD"/>
      </left>
      <right style="thin">
        <color rgb="FF808080"/>
      </right>
      <top style="medium">
        <color indexed="23"/>
      </top>
      <bottom style="medium">
        <color indexed="23"/>
      </bottom>
      <diagonal/>
    </border>
    <border>
      <left/>
      <right style="hair">
        <color indexed="64"/>
      </right>
      <top style="medium">
        <color indexed="23"/>
      </top>
      <bottom style="medium">
        <color indexed="23"/>
      </bottom>
      <diagonal/>
    </border>
    <border>
      <left style="hair">
        <color indexed="64"/>
      </left>
      <right style="hair">
        <color indexed="64"/>
      </right>
      <top style="medium">
        <color indexed="23"/>
      </top>
      <bottom style="medium">
        <color indexed="23"/>
      </bottom>
      <diagonal/>
    </border>
    <border>
      <left style="hair">
        <color indexed="64"/>
      </left>
      <right style="thin">
        <color rgb="FF808080"/>
      </right>
      <top style="medium">
        <color indexed="23"/>
      </top>
      <bottom style="medium">
        <color indexed="23"/>
      </bottom>
      <diagonal/>
    </border>
    <border>
      <left style="thin">
        <color rgb="FFDDDDDD"/>
      </left>
      <right style="thin">
        <color rgb="FF808080"/>
      </right>
      <top style="medium">
        <color indexed="23"/>
      </top>
      <bottom/>
      <diagonal/>
    </border>
    <border>
      <left/>
      <right style="hair">
        <color indexed="64"/>
      </right>
      <top style="medium">
        <color indexed="23"/>
      </top>
      <bottom style="hair">
        <color indexed="64"/>
      </bottom>
      <diagonal/>
    </border>
    <border>
      <left style="hair">
        <color indexed="64"/>
      </left>
      <right style="hair">
        <color indexed="64"/>
      </right>
      <top style="medium">
        <color indexed="23"/>
      </top>
      <bottom style="hair">
        <color indexed="64"/>
      </bottom>
      <diagonal/>
    </border>
    <border>
      <left style="hair">
        <color indexed="64"/>
      </left>
      <right style="thin">
        <color rgb="FF808080"/>
      </right>
      <top style="medium">
        <color indexed="23"/>
      </top>
      <bottom style="hair">
        <color indexed="64"/>
      </bottom>
      <diagonal/>
    </border>
    <border>
      <left style="thin">
        <color rgb="FFDDDDDD"/>
      </left>
      <right style="thin">
        <color rgb="FF808080"/>
      </right>
      <top/>
      <bottom style="medium">
        <color indexed="23"/>
      </bottom>
      <diagonal/>
    </border>
    <border>
      <left/>
      <right style="hair">
        <color indexed="64"/>
      </right>
      <top style="hair">
        <color indexed="64"/>
      </top>
      <bottom style="medium">
        <color indexed="23"/>
      </bottom>
      <diagonal/>
    </border>
    <border>
      <left style="hair">
        <color indexed="64"/>
      </left>
      <right style="hair">
        <color indexed="64"/>
      </right>
      <top style="hair">
        <color indexed="64"/>
      </top>
      <bottom style="medium">
        <color indexed="23"/>
      </bottom>
      <diagonal/>
    </border>
    <border>
      <left style="hair">
        <color indexed="64"/>
      </left>
      <right style="thin">
        <color rgb="FF808080"/>
      </right>
      <top style="hair">
        <color indexed="64"/>
      </top>
      <bottom style="medium">
        <color indexed="23"/>
      </bottom>
      <diagonal/>
    </border>
    <border>
      <left style="thin">
        <color rgb="FFDDDDDD"/>
      </left>
      <right style="thin">
        <color rgb="FF808080"/>
      </right>
      <top style="medium">
        <color indexed="23"/>
      </top>
      <bottom style="hair">
        <color indexed="64"/>
      </bottom>
      <diagonal/>
    </border>
    <border>
      <left style="thin">
        <color rgb="FFDDDDDD"/>
      </left>
      <right style="thin">
        <color rgb="FF808080"/>
      </right>
      <top style="hair">
        <color indexed="64"/>
      </top>
      <bottom style="medium">
        <color indexed="23"/>
      </bottom>
      <diagonal/>
    </border>
    <border>
      <left style="hair">
        <color indexed="64"/>
      </left>
      <right/>
      <top style="thin">
        <color rgb="FFF8F8F8"/>
      </top>
      <bottom/>
      <diagonal/>
    </border>
    <border>
      <left style="hair">
        <color indexed="64"/>
      </left>
      <right/>
      <top/>
      <bottom/>
      <diagonal/>
    </border>
    <border>
      <left/>
      <right style="hair">
        <color indexed="64"/>
      </right>
      <top style="thin">
        <color rgb="FF777777"/>
      </top>
      <bottom/>
      <diagonal/>
    </border>
    <border>
      <left/>
      <right style="thin">
        <color rgb="FF808080"/>
      </right>
      <top style="thin">
        <color rgb="FF777777"/>
      </top>
      <bottom/>
      <diagonal/>
    </border>
    <border>
      <left/>
      <right style="hair">
        <color indexed="64"/>
      </right>
      <top/>
      <bottom style="thin">
        <color indexed="64"/>
      </bottom>
      <diagonal/>
    </border>
    <border>
      <left/>
      <right style="thin">
        <color rgb="FF808080"/>
      </right>
      <top/>
      <bottom style="thin">
        <color indexed="64"/>
      </bottom>
      <diagonal/>
    </border>
    <border>
      <left/>
      <right style="hair">
        <color indexed="64"/>
      </right>
      <top/>
      <bottom style="hair">
        <color indexed="64"/>
      </bottom>
      <diagonal/>
    </border>
    <border>
      <left/>
      <right style="thin">
        <color rgb="FF808080"/>
      </right>
      <top/>
      <bottom style="hair">
        <color indexed="64"/>
      </bottom>
      <diagonal/>
    </border>
    <border>
      <left/>
      <right style="thin">
        <color rgb="FF808080"/>
      </right>
      <top style="hair">
        <color indexed="64"/>
      </top>
      <bottom style="thin">
        <color rgb="FF777777"/>
      </bottom>
      <diagonal/>
    </border>
    <border>
      <left style="hair">
        <color indexed="64"/>
      </left>
      <right style="hair">
        <color indexed="64"/>
      </right>
      <top style="thin">
        <color auto="1"/>
      </top>
      <bottom/>
      <diagonal/>
    </border>
    <border>
      <left/>
      <right style="thin">
        <color rgb="FFF8F8F8"/>
      </right>
      <top style="thin">
        <color rgb="FFF8F8F8"/>
      </top>
      <bottom style="thin">
        <color rgb="FFF8F8F8"/>
      </bottom>
      <diagonal/>
    </border>
    <border>
      <left/>
      <right/>
      <top style="thin">
        <color rgb="FFF8F8F8"/>
      </top>
      <bottom style="thin">
        <color rgb="FFF8F8F8"/>
      </bottom>
      <diagonal/>
    </border>
    <border>
      <left style="thin">
        <color rgb="FFDDDDDD"/>
      </left>
      <right style="hair">
        <color indexed="64"/>
      </right>
      <top style="thin">
        <color rgb="FFF8F8F8"/>
      </top>
      <bottom/>
      <diagonal/>
    </border>
    <border>
      <left style="hair">
        <color indexed="64"/>
      </left>
      <right style="thin">
        <color indexed="64"/>
      </right>
      <top style="thin">
        <color rgb="FFF8F8F8"/>
      </top>
      <bottom/>
      <diagonal/>
    </border>
    <border>
      <left style="thin">
        <color indexed="64"/>
      </left>
      <right style="hair">
        <color indexed="64"/>
      </right>
      <top style="thin">
        <color rgb="FFF8F8F8"/>
      </top>
      <bottom/>
      <diagonal/>
    </border>
    <border>
      <left/>
      <right style="thin">
        <color indexed="64"/>
      </right>
      <top style="thin">
        <color rgb="FFF8F8F8"/>
      </top>
      <bottom/>
      <diagonal/>
    </border>
    <border>
      <left style="thin">
        <color indexed="64"/>
      </left>
      <right/>
      <top style="thin">
        <color rgb="FFF8F8F8"/>
      </top>
      <bottom/>
      <diagonal/>
    </border>
    <border>
      <left style="thin">
        <color indexed="64"/>
      </left>
      <right/>
      <top style="thin">
        <color rgb="FFF8F8F8"/>
      </top>
      <bottom style="thin">
        <color indexed="64"/>
      </bottom>
      <diagonal/>
    </border>
    <border>
      <left/>
      <right/>
      <top style="thin">
        <color rgb="FFF8F8F8"/>
      </top>
      <bottom style="thin">
        <color indexed="64"/>
      </bottom>
      <diagonal/>
    </border>
    <border>
      <left/>
      <right style="thin">
        <color indexed="64"/>
      </right>
      <top style="thin">
        <color rgb="FFF8F8F8"/>
      </top>
      <bottom style="thin">
        <color indexed="64"/>
      </bottom>
      <diagonal/>
    </border>
    <border>
      <left style="thin">
        <color indexed="64"/>
      </left>
      <right/>
      <top style="thin">
        <color rgb="FFF8F8F8"/>
      </top>
      <bottom style="hair">
        <color indexed="64"/>
      </bottom>
      <diagonal/>
    </border>
    <border>
      <left style="thin">
        <color rgb="FFDDDDDD"/>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style="hair">
        <color indexed="8"/>
      </right>
      <top style="thin">
        <color indexed="64"/>
      </top>
      <bottom style="hair">
        <color indexed="64"/>
      </bottom>
      <diagonal/>
    </border>
    <border>
      <left style="hair">
        <color indexed="8"/>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top/>
      <bottom/>
      <diagonal/>
    </border>
    <border>
      <left/>
      <right style="thin">
        <color rgb="FFF8F8F8"/>
      </right>
      <top/>
      <bottom style="thin">
        <color rgb="FFF8F8F8"/>
      </bottom>
      <diagonal/>
    </border>
    <border>
      <left style="thin">
        <color rgb="FFDDDDDD"/>
      </left>
      <right style="hair">
        <color indexed="64"/>
      </right>
      <top/>
      <bottom style="thin">
        <color rgb="FF777777"/>
      </bottom>
      <diagonal/>
    </border>
    <border>
      <left/>
      <right style="thin">
        <color indexed="64"/>
      </right>
      <top/>
      <bottom style="thin">
        <color rgb="FF777777"/>
      </bottom>
      <diagonal/>
    </border>
    <border>
      <left style="thin">
        <color indexed="64"/>
      </left>
      <right style="hair">
        <color indexed="64"/>
      </right>
      <top style="thin">
        <color indexed="64"/>
      </top>
      <bottom style="thin">
        <color rgb="FF777777"/>
      </bottom>
      <diagonal/>
    </border>
    <border>
      <left/>
      <right style="hair">
        <color indexed="64"/>
      </right>
      <top style="thin">
        <color indexed="64"/>
      </top>
      <bottom style="thin">
        <color rgb="FF777777"/>
      </bottom>
      <diagonal/>
    </border>
    <border>
      <left style="thin">
        <color indexed="64"/>
      </left>
      <right/>
      <top style="thin">
        <color indexed="64"/>
      </top>
      <bottom style="thin">
        <color rgb="FF777777"/>
      </bottom>
      <diagonal/>
    </border>
    <border>
      <left/>
      <right style="hair">
        <color indexed="8"/>
      </right>
      <top style="thin">
        <color indexed="64"/>
      </top>
      <bottom style="thin">
        <color rgb="FF777777"/>
      </bottom>
      <diagonal/>
    </border>
    <border>
      <left style="hair">
        <color indexed="8"/>
      </left>
      <right/>
      <top/>
      <bottom style="thin">
        <color rgb="FF777777"/>
      </bottom>
      <diagonal/>
    </border>
    <border>
      <left style="thin">
        <color indexed="64"/>
      </left>
      <right/>
      <top/>
      <bottom style="thin">
        <color rgb="FF777777"/>
      </bottom>
      <diagonal/>
    </border>
    <border>
      <left/>
      <right style="hair">
        <color indexed="8"/>
      </right>
      <top/>
      <bottom style="thin">
        <color rgb="FF777777"/>
      </bottom>
      <diagonal/>
    </border>
    <border>
      <left/>
      <right/>
      <top style="thin">
        <color rgb="FF777777"/>
      </top>
      <bottom style="medium">
        <color rgb="FFF8F8F8"/>
      </bottom>
      <diagonal/>
    </border>
    <border>
      <left style="thin">
        <color rgb="FF808080"/>
      </left>
      <right/>
      <top/>
      <bottom style="thin">
        <color rgb="FFF8F8F8"/>
      </bottom>
      <diagonal/>
    </border>
    <border>
      <left style="thin">
        <color rgb="FFDDDDDD"/>
      </left>
      <right/>
      <top style="medium">
        <color rgb="FFF8F8F8"/>
      </top>
      <bottom/>
      <diagonal/>
    </border>
    <border>
      <left/>
      <right/>
      <top style="medium">
        <color rgb="FFF8F8F8"/>
      </top>
      <bottom/>
      <diagonal/>
    </border>
    <border>
      <left/>
      <right style="double">
        <color indexed="64"/>
      </right>
      <top style="medium">
        <color rgb="FFF8F8F8"/>
      </top>
      <bottom/>
      <diagonal/>
    </border>
    <border>
      <left style="double">
        <color indexed="64"/>
      </left>
      <right/>
      <top style="medium">
        <color rgb="FFF8F8F8"/>
      </top>
      <bottom style="thin">
        <color indexed="64"/>
      </bottom>
      <diagonal/>
    </border>
    <border>
      <left/>
      <right/>
      <top style="medium">
        <color rgb="FFF8F8F8"/>
      </top>
      <bottom style="thin">
        <color indexed="64"/>
      </bottom>
      <diagonal/>
    </border>
    <border>
      <left/>
      <right style="thin">
        <color rgb="FF808080"/>
      </right>
      <top style="medium">
        <color rgb="FFF8F8F8"/>
      </top>
      <bottom style="thin">
        <color indexed="64"/>
      </bottom>
      <diagonal/>
    </border>
    <border>
      <left style="double">
        <color indexed="64"/>
      </left>
      <right/>
      <top style="medium">
        <color rgb="FFF8F8F8"/>
      </top>
      <bottom/>
      <diagonal/>
    </border>
    <border>
      <left/>
      <right style="thin">
        <color rgb="FF808080"/>
      </right>
      <top style="medium">
        <color rgb="FFF8F8F8"/>
      </top>
      <bottom/>
      <diagonal/>
    </border>
    <border>
      <left/>
      <right style="double">
        <color indexed="64"/>
      </right>
      <top/>
      <bottom style="thin">
        <color rgb="FF777777"/>
      </bottom>
      <diagonal/>
    </border>
    <border>
      <left style="double">
        <color indexed="64"/>
      </left>
      <right/>
      <top/>
      <bottom/>
      <diagonal/>
    </border>
    <border>
      <left style="thin">
        <color indexed="8"/>
      </left>
      <right/>
      <top/>
      <bottom/>
      <diagonal/>
    </border>
    <border>
      <left style="double">
        <color indexed="64"/>
      </left>
      <right/>
      <top style="thin">
        <color indexed="64"/>
      </top>
      <bottom style="thin">
        <color rgb="FF777777"/>
      </bottom>
      <diagonal/>
    </border>
    <border>
      <left/>
      <right/>
      <top style="thin">
        <color indexed="64"/>
      </top>
      <bottom style="thin">
        <color rgb="FF777777"/>
      </bottom>
      <diagonal/>
    </border>
    <border>
      <left/>
      <right style="thin">
        <color indexed="8"/>
      </right>
      <top style="thin">
        <color indexed="64"/>
      </top>
      <bottom style="thin">
        <color rgb="FF777777"/>
      </bottom>
      <diagonal/>
    </border>
    <border>
      <left style="thin">
        <color indexed="8"/>
      </left>
      <right/>
      <top style="thin">
        <color indexed="64"/>
      </top>
      <bottom style="thin">
        <color rgb="FF777777"/>
      </bottom>
      <diagonal/>
    </border>
    <border>
      <left/>
      <right style="hair">
        <color indexed="8"/>
      </right>
      <top style="thin">
        <color rgb="FF777777"/>
      </top>
      <bottom style="thin">
        <color rgb="FF777777"/>
      </bottom>
      <diagonal/>
    </border>
    <border>
      <left style="double">
        <color indexed="64"/>
      </left>
      <right style="hair">
        <color indexed="64"/>
      </right>
      <top style="thin">
        <color rgb="FF777777"/>
      </top>
      <bottom style="thin">
        <color rgb="FF777777"/>
      </bottom>
      <diagonal/>
    </border>
    <border>
      <left style="thin">
        <color indexed="64"/>
      </left>
      <right style="hair">
        <color indexed="64"/>
      </right>
      <top style="thin">
        <color rgb="FF777777"/>
      </top>
      <bottom style="thin">
        <color rgb="FF777777"/>
      </bottom>
      <diagonal/>
    </border>
    <border>
      <left/>
      <right style="hair">
        <color indexed="8"/>
      </right>
      <top/>
      <bottom style="hair">
        <color indexed="64"/>
      </bottom>
      <diagonal/>
    </border>
    <border>
      <left/>
      <right/>
      <top/>
      <bottom style="hair">
        <color indexed="64"/>
      </bottom>
      <diagonal/>
    </border>
    <border>
      <left style="hair">
        <color indexed="8"/>
      </left>
      <right style="hair">
        <color auto="1"/>
      </right>
      <top/>
      <bottom style="hair">
        <color indexed="64"/>
      </bottom>
      <diagonal/>
    </border>
    <border>
      <left style="double">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thin">
        <color rgb="FF808080"/>
      </right>
      <top style="thin">
        <color rgb="FF777777"/>
      </top>
      <bottom style="hair">
        <color indexed="64"/>
      </bottom>
      <diagonal/>
    </border>
    <border>
      <left/>
      <right style="double">
        <color indexed="64"/>
      </right>
      <top/>
      <bottom style="hair">
        <color indexed="64"/>
      </bottom>
      <diagonal/>
    </border>
    <border>
      <left style="double">
        <color indexed="64"/>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style="thin">
        <color indexed="64"/>
      </left>
      <right/>
      <top style="thin">
        <color rgb="FF777777"/>
      </top>
      <bottom/>
      <diagonal/>
    </border>
    <border>
      <left/>
      <right style="hair">
        <color indexed="8"/>
      </right>
      <top style="hair">
        <color indexed="64"/>
      </top>
      <bottom style="hair">
        <color indexed="64"/>
      </bottom>
      <diagonal/>
    </border>
    <border>
      <left style="hair">
        <color indexed="8"/>
      </left>
      <right style="hair">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rgb="FF808080"/>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bottom/>
      <diagonal/>
    </border>
    <border>
      <left style="thin">
        <color indexed="64"/>
      </left>
      <right/>
      <top/>
      <bottom/>
      <diagonal/>
    </border>
    <border>
      <left/>
      <right style="thin">
        <color rgb="FF777777"/>
      </right>
      <top style="thin">
        <color rgb="FFF8F8F8"/>
      </top>
      <bottom/>
      <diagonal/>
    </border>
    <border>
      <left style="thin">
        <color rgb="FF777777"/>
      </left>
      <right/>
      <top style="thin">
        <color rgb="FFF8F8F8"/>
      </top>
      <bottom style="thin">
        <color rgb="FF777777"/>
      </bottom>
      <diagonal/>
    </border>
    <border>
      <left/>
      <right style="thin">
        <color rgb="FF777777"/>
      </right>
      <top style="thin">
        <color rgb="FFF8F8F8"/>
      </top>
      <bottom style="thin">
        <color rgb="FF777777"/>
      </bottom>
      <diagonal/>
    </border>
    <border>
      <left style="thin">
        <color rgb="FF777777"/>
      </left>
      <right/>
      <top style="thin">
        <color rgb="FFF8F8F8"/>
      </top>
      <bottom/>
      <diagonal/>
    </border>
    <border>
      <left/>
      <right style="hair">
        <color indexed="8"/>
      </right>
      <top style="hair">
        <color indexed="64"/>
      </top>
      <bottom/>
      <diagonal/>
    </border>
    <border>
      <left/>
      <right/>
      <top style="hair">
        <color indexed="64"/>
      </top>
      <bottom/>
      <diagonal/>
    </border>
    <border>
      <left style="hair">
        <color indexed="8"/>
      </left>
      <right style="hair">
        <color auto="1"/>
      </right>
      <top style="hair">
        <color indexed="64"/>
      </top>
      <bottom style="thin">
        <color indexed="64"/>
      </bottom>
      <diagonal/>
    </border>
    <border>
      <left style="double">
        <color indexed="64"/>
      </left>
      <right style="hair">
        <color indexed="64"/>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right style="thin">
        <color rgb="FF808080"/>
      </right>
      <top style="hair">
        <color indexed="64"/>
      </top>
      <bottom/>
      <diagonal/>
    </border>
    <border>
      <left/>
      <right style="double">
        <color indexed="64"/>
      </right>
      <top style="hair">
        <color indexed="64"/>
      </top>
      <bottom/>
      <diagonal/>
    </border>
    <border>
      <left/>
      <right style="thin">
        <color rgb="FF777777"/>
      </right>
      <top style="thin">
        <color rgb="FF777777"/>
      </top>
      <bottom style="thin">
        <color rgb="FF777777"/>
      </bottom>
      <diagonal/>
    </border>
    <border>
      <left style="thin">
        <color rgb="FF777777"/>
      </left>
      <right/>
      <top style="thin">
        <color rgb="FF777777"/>
      </top>
      <bottom style="thin">
        <color rgb="FF777777"/>
      </bottom>
      <diagonal/>
    </border>
    <border>
      <left style="thin">
        <color rgb="FFDDDDDD"/>
      </left>
      <right style="thin">
        <color rgb="FF808080"/>
      </right>
      <top/>
      <bottom style="thin">
        <color indexed="23"/>
      </bottom>
      <diagonal/>
    </border>
    <border>
      <left/>
      <right/>
      <top style="thin">
        <color auto="1"/>
      </top>
      <bottom/>
      <diagonal/>
    </border>
    <border>
      <left style="hair">
        <color indexed="64"/>
      </left>
      <right/>
      <top style="thin">
        <color indexed="64"/>
      </top>
      <bottom/>
      <diagonal/>
    </border>
    <border>
      <left style="hair">
        <color indexed="64"/>
      </left>
      <right style="thin">
        <color rgb="FF808080"/>
      </right>
      <top style="thin">
        <color indexed="64"/>
      </top>
      <bottom/>
      <diagonal/>
    </border>
    <border>
      <left style="double">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double">
        <color indexed="64"/>
      </right>
      <top style="thin">
        <color indexed="64"/>
      </top>
      <bottom/>
      <diagonal/>
    </border>
    <border>
      <left style="thin">
        <color rgb="FFDDDDDD"/>
      </left>
      <right style="hair">
        <color indexed="64"/>
      </right>
      <top style="thin">
        <color rgb="FFF8F8F8"/>
      </top>
      <bottom style="thin">
        <color rgb="FF777777"/>
      </bottom>
      <diagonal/>
    </border>
    <border>
      <left style="hair">
        <color indexed="64"/>
      </left>
      <right style="hair">
        <color indexed="64"/>
      </right>
      <top style="thin">
        <color rgb="FFF8F8F8"/>
      </top>
      <bottom style="thin">
        <color rgb="FF777777"/>
      </bottom>
      <diagonal/>
    </border>
    <border>
      <left/>
      <right style="hair">
        <color indexed="64"/>
      </right>
      <top style="thin">
        <color rgb="FFF8F8F8"/>
      </top>
      <bottom style="thin">
        <color rgb="FF777777"/>
      </bottom>
      <diagonal/>
    </border>
    <border>
      <left style="hair">
        <color indexed="64"/>
      </left>
      <right/>
      <top style="thin">
        <color rgb="FFF8F8F8"/>
      </top>
      <bottom style="thin">
        <color rgb="FF777777"/>
      </bottom>
      <diagonal/>
    </border>
    <border>
      <left style="double">
        <color indexed="64"/>
      </left>
      <right style="hair">
        <color indexed="64"/>
      </right>
      <top style="thin">
        <color rgb="FFF8F8F8"/>
      </top>
      <bottom style="thin">
        <color rgb="FF777777"/>
      </bottom>
      <diagonal/>
    </border>
    <border>
      <left style="thin">
        <color indexed="8"/>
      </left>
      <right style="hair">
        <color indexed="64"/>
      </right>
      <top style="thin">
        <color rgb="FFF8F8F8"/>
      </top>
      <bottom style="thin">
        <color rgb="FF777777"/>
      </bottom>
      <diagonal/>
    </border>
    <border>
      <left/>
      <right style="double">
        <color indexed="64"/>
      </right>
      <top style="thin">
        <color rgb="FFF8F8F8"/>
      </top>
      <bottom style="thin">
        <color rgb="FF777777"/>
      </bottom>
      <diagonal/>
    </border>
    <border>
      <left style="hair">
        <color indexed="8"/>
      </left>
      <right/>
      <top/>
      <bottom style="hair">
        <color indexed="64"/>
      </bottom>
      <diagonal/>
    </border>
    <border>
      <left style="thin">
        <color indexed="8"/>
      </left>
      <right style="hair">
        <color indexed="64"/>
      </right>
      <top/>
      <bottom style="hair">
        <color indexed="64"/>
      </bottom>
      <diagonal/>
    </border>
    <border>
      <left style="hair">
        <color indexed="8"/>
      </left>
      <right/>
      <top style="hair">
        <color indexed="64"/>
      </top>
      <bottom style="hair">
        <color indexed="64"/>
      </bottom>
      <diagonal/>
    </border>
    <border>
      <left style="thin">
        <color indexed="8"/>
      </left>
      <right style="hair">
        <color indexed="64"/>
      </right>
      <top style="hair">
        <color indexed="64"/>
      </top>
      <bottom style="hair">
        <color indexed="64"/>
      </bottom>
      <diagonal/>
    </border>
    <border diagonalUp="1">
      <left style="thin">
        <color rgb="FF777777"/>
      </left>
      <right style="thin">
        <color rgb="FF808080"/>
      </right>
      <top style="thin">
        <color rgb="FF777777"/>
      </top>
      <bottom style="thin">
        <color rgb="FF777777"/>
      </bottom>
      <diagonal style="thin">
        <color rgb="FF777777"/>
      </diagonal>
    </border>
    <border>
      <left style="hair">
        <color indexed="8"/>
      </left>
      <right/>
      <top style="hair">
        <color indexed="64"/>
      </top>
      <bottom/>
      <diagonal/>
    </border>
    <border>
      <left style="thin">
        <color indexed="8"/>
      </left>
      <right style="hair">
        <color indexed="64"/>
      </right>
      <top style="hair">
        <color indexed="64"/>
      </top>
      <bottom/>
      <diagonal/>
    </border>
    <border>
      <left style="thin">
        <color indexed="8"/>
      </left>
      <right/>
      <top style="thin">
        <color indexed="64"/>
      </top>
      <bottom/>
      <diagonal/>
    </border>
    <border>
      <left style="thin">
        <color indexed="64"/>
      </left>
      <right/>
      <top style="thin">
        <color indexed="64"/>
      </top>
      <bottom/>
      <diagonal/>
    </border>
    <border>
      <left style="thin">
        <color indexed="8"/>
      </left>
      <right style="hair">
        <color indexed="64"/>
      </right>
      <top style="thin">
        <color indexed="64"/>
      </top>
      <bottom/>
      <diagonal/>
    </border>
    <border>
      <left style="thin">
        <color rgb="FFDDDDDD"/>
      </left>
      <right/>
      <top style="thin">
        <color indexed="23"/>
      </top>
      <bottom/>
      <diagonal/>
    </border>
    <border>
      <left style="thin">
        <color indexed="64"/>
      </left>
      <right style="hair">
        <color indexed="64"/>
      </right>
      <top style="thin">
        <color rgb="FFF8F8F8"/>
      </top>
      <bottom style="thin">
        <color rgb="FF777777"/>
      </bottom>
      <diagonal/>
    </border>
    <border>
      <left/>
      <right style="thin">
        <color rgb="FF777777"/>
      </right>
      <top/>
      <bottom/>
      <diagonal/>
    </border>
    <border>
      <left/>
      <right style="thin">
        <color rgb="FF777777"/>
      </right>
      <top style="medium">
        <color rgb="FFF8F8F8"/>
      </top>
      <bottom style="thin">
        <color rgb="FF777777"/>
      </bottom>
      <diagonal/>
    </border>
    <border>
      <left style="thin">
        <color rgb="FF777777"/>
      </left>
      <right style="thin">
        <color rgb="FF808080"/>
      </right>
      <top style="medium">
        <color rgb="FFF8F8F8"/>
      </top>
      <bottom style="thin">
        <color rgb="FF777777"/>
      </bottom>
      <diagonal/>
    </border>
    <border>
      <left style="thin">
        <color rgb="FF808080"/>
      </left>
      <right/>
      <top style="hair">
        <color indexed="64"/>
      </top>
      <bottom style="thin">
        <color indexed="64"/>
      </bottom>
      <diagonal/>
    </border>
    <border>
      <left/>
      <right/>
      <top style="hair">
        <color indexed="64"/>
      </top>
      <bottom style="thin">
        <color indexed="64"/>
      </bottom>
      <diagonal/>
    </border>
    <border>
      <left style="double">
        <color indexed="64"/>
      </left>
      <right style="hair">
        <color indexed="64"/>
      </right>
      <top/>
      <bottom/>
      <diagonal/>
    </border>
    <border>
      <left style="thin">
        <color indexed="64"/>
      </left>
      <right style="hair">
        <color indexed="64"/>
      </right>
      <top/>
      <bottom/>
      <diagonal/>
    </border>
    <border>
      <left style="thin">
        <color indexed="23"/>
      </left>
      <right style="thin">
        <color rgb="FF808080"/>
      </right>
      <top/>
      <bottom/>
      <diagonal/>
    </border>
    <border>
      <left/>
      <right style="double">
        <color indexed="64"/>
      </right>
      <top/>
      <bottom/>
      <diagonal/>
    </border>
    <border>
      <left/>
      <right style="thin">
        <color indexed="64"/>
      </right>
      <top style="thin">
        <color indexed="64"/>
      </top>
      <bottom/>
      <diagonal/>
    </border>
    <border>
      <left/>
      <right style="hair">
        <color indexed="64"/>
      </right>
      <top style="thin">
        <color indexed="64"/>
      </top>
      <bottom/>
      <diagonal/>
    </border>
    <border>
      <left/>
      <right style="thin">
        <color rgb="FF808080"/>
      </right>
      <top style="thin">
        <color indexed="64"/>
      </top>
      <bottom/>
      <diagonal/>
    </border>
    <border>
      <left/>
      <right style="double">
        <color indexed="64"/>
      </right>
      <top style="thin">
        <color indexed="64"/>
      </top>
      <bottom/>
      <diagonal/>
    </border>
    <border>
      <left style="thin">
        <color rgb="FFDDDDDD"/>
      </left>
      <right/>
      <top style="thin">
        <color rgb="FF808080"/>
      </top>
      <bottom/>
      <diagonal/>
    </border>
    <border>
      <left style="hair">
        <color indexed="8"/>
      </left>
      <right/>
      <top style="thin">
        <color rgb="FF777777"/>
      </top>
      <bottom style="hair">
        <color indexed="64"/>
      </bottom>
      <diagonal/>
    </border>
    <border>
      <left style="hair">
        <color indexed="64"/>
      </left>
      <right/>
      <top style="thin">
        <color rgb="FF777777"/>
      </top>
      <bottom style="hair">
        <color indexed="64"/>
      </bottom>
      <diagonal/>
    </border>
    <border>
      <left/>
      <right style="double">
        <color indexed="64"/>
      </right>
      <top style="thin">
        <color rgb="FF777777"/>
      </top>
      <bottom style="hair">
        <color indexed="64"/>
      </bottom>
      <diagonal/>
    </border>
    <border>
      <left style="hair">
        <color indexed="64"/>
      </left>
      <right/>
      <top style="hair">
        <color indexed="64"/>
      </top>
      <bottom style="hair">
        <color indexed="64"/>
      </bottom>
      <diagonal/>
    </border>
    <border>
      <left style="thin">
        <color rgb="FFDDDDDD"/>
      </left>
      <right style="thin">
        <color rgb="FF808080"/>
      </right>
      <top/>
      <bottom style="thin">
        <color rgb="FF808080"/>
      </bottom>
      <diagonal/>
    </border>
    <border>
      <left style="thin">
        <color rgb="FF777777"/>
      </left>
      <right style="thin">
        <color rgb="FF808080"/>
      </right>
      <top/>
      <bottom/>
      <diagonal/>
    </border>
    <border>
      <left style="thin">
        <color rgb="FF808080"/>
      </left>
      <right/>
      <top style="thin">
        <color rgb="FF777777"/>
      </top>
      <bottom style="hair">
        <color indexed="64"/>
      </bottom>
      <diagonal/>
    </border>
    <border>
      <left/>
      <right style="double">
        <color indexed="64"/>
      </right>
      <top style="hair">
        <color indexed="64"/>
      </top>
      <bottom style="thin">
        <color indexed="64"/>
      </bottom>
      <diagonal/>
    </border>
    <border>
      <left style="double">
        <color indexed="64"/>
      </left>
      <right/>
      <top/>
      <bottom style="thin">
        <color indexed="64"/>
      </bottom>
      <diagonal/>
    </border>
    <border>
      <left style="thin">
        <color indexed="64"/>
      </left>
      <right/>
      <top/>
      <bottom style="thin">
        <color indexed="64"/>
      </bottom>
      <diagonal/>
    </border>
    <border>
      <left style="thin">
        <color rgb="FFDDDDDD"/>
      </left>
      <right/>
      <top style="thin">
        <color rgb="FF777777"/>
      </top>
      <bottom/>
      <diagonal/>
    </border>
    <border>
      <left/>
      <right style="thin">
        <color rgb="FF777777"/>
      </right>
      <top style="thin">
        <color rgb="FF777777"/>
      </top>
      <bottom/>
      <diagonal/>
    </border>
    <border>
      <left style="thin">
        <color rgb="FF777777"/>
      </left>
      <right style="thin">
        <color rgb="FF808080"/>
      </right>
      <top style="thin">
        <color rgb="FF777777"/>
      </top>
      <bottom/>
      <diagonal/>
    </border>
    <border>
      <left style="thin">
        <color rgb="FFDDDDDD"/>
      </left>
      <right style="thin">
        <color rgb="FF808080"/>
      </right>
      <top/>
      <bottom style="double">
        <color indexed="64"/>
      </bottom>
      <diagonal/>
    </border>
    <border>
      <left style="thin">
        <color rgb="FFDDDDDD"/>
      </left>
      <right style="thin">
        <color rgb="FF808080"/>
      </right>
      <top style="thin">
        <color rgb="FF777777"/>
      </top>
      <bottom style="double">
        <color indexed="64"/>
      </bottom>
      <diagonal/>
    </border>
    <border>
      <left style="thin">
        <color rgb="FFDDDDDD"/>
      </left>
      <right/>
      <top/>
      <bottom style="thin">
        <color indexed="64"/>
      </bottom>
      <diagonal/>
    </border>
    <border>
      <left/>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thin">
        <color indexed="23"/>
      </left>
      <right style="thin">
        <color rgb="FF808080"/>
      </right>
      <top style="double">
        <color indexed="64"/>
      </top>
      <bottom style="thin">
        <color indexed="64"/>
      </bottom>
      <diagonal/>
    </border>
    <border>
      <left/>
      <right style="hair">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rgb="FF777777"/>
      </top>
      <bottom/>
      <diagonal/>
    </border>
    <border>
      <left style="thin">
        <color rgb="FFDDDDDD"/>
      </left>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808080"/>
      </right>
      <top style="thin">
        <color indexed="64"/>
      </top>
      <bottom style="thin">
        <color indexed="64"/>
      </bottom>
      <diagonal/>
    </border>
    <border>
      <left style="double">
        <color indexed="64"/>
      </left>
      <right style="hair">
        <color indexed="64"/>
      </right>
      <top style="thin">
        <color indexed="64"/>
      </top>
      <bottom style="thin">
        <color auto="1"/>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rgb="FFDDDDDD"/>
      </left>
      <right/>
      <top style="thin">
        <color indexed="64"/>
      </top>
      <bottom/>
      <diagonal/>
    </border>
    <border>
      <left style="double">
        <color indexed="64"/>
      </left>
      <right/>
      <top style="thin">
        <color indexed="64"/>
      </top>
      <bottom/>
      <diagonal/>
    </border>
    <border>
      <left style="hair">
        <color indexed="64"/>
      </left>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23"/>
      </left>
      <right style="thin">
        <color rgb="FF808080"/>
      </right>
      <top style="thin">
        <color indexed="64"/>
      </top>
      <bottom/>
      <diagonal/>
    </border>
    <border>
      <left style="double">
        <color auto="1"/>
      </left>
      <right style="hair">
        <color auto="1"/>
      </right>
      <top style="thin">
        <color auto="1"/>
      </top>
      <bottom style="thin">
        <color rgb="FFF8F8F8"/>
      </bottom>
      <diagonal/>
    </border>
    <border>
      <left style="thin">
        <color indexed="64"/>
      </left>
      <right style="hair">
        <color indexed="64"/>
      </right>
      <top style="thin">
        <color indexed="64"/>
      </top>
      <bottom/>
      <diagonal/>
    </border>
    <border>
      <left style="hair">
        <color indexed="64"/>
      </left>
      <right style="double">
        <color indexed="64"/>
      </right>
      <top style="thin">
        <color indexed="64"/>
      </top>
      <bottom/>
      <diagonal/>
    </border>
    <border>
      <left style="hair">
        <color indexed="64"/>
      </left>
      <right style="thin">
        <color rgb="FF808080"/>
      </right>
      <top style="thin">
        <color indexed="64"/>
      </top>
      <bottom/>
      <diagonal/>
    </border>
    <border>
      <left style="thin">
        <color rgb="FFDDDDDD"/>
      </left>
      <right/>
      <top style="medium">
        <color theme="0" tint="-0.14993743705557422"/>
      </top>
      <bottom/>
      <diagonal/>
    </border>
    <border>
      <left style="hair">
        <color indexed="64"/>
      </left>
      <right style="thin">
        <color indexed="64"/>
      </right>
      <top style="thin">
        <color rgb="FFF8F8F8"/>
      </top>
      <bottom style="thin">
        <color rgb="FF777777"/>
      </bottom>
      <diagonal/>
    </border>
    <border>
      <left style="thin">
        <color indexed="23"/>
      </left>
      <right style="thin">
        <color rgb="FF808080"/>
      </right>
      <top style="thin">
        <color rgb="FFF8F8F8"/>
      </top>
      <bottom style="thin">
        <color rgb="FF777777"/>
      </bottom>
      <diagonal/>
    </border>
    <border>
      <left style="hair">
        <color indexed="64"/>
      </left>
      <right style="thin">
        <color indexed="64"/>
      </right>
      <top/>
      <bottom style="hair">
        <color indexed="64"/>
      </bottom>
      <diagonal/>
    </border>
    <border>
      <left style="double">
        <color indexed="64"/>
      </left>
      <right/>
      <top style="thin">
        <color rgb="FF777777"/>
      </top>
      <bottom/>
      <diagonal/>
    </border>
    <border>
      <left/>
      <right style="thin">
        <color indexed="64"/>
      </right>
      <top style="thin">
        <color rgb="FF777777"/>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rgb="FFDDDDDD"/>
      </left>
      <right/>
      <top/>
      <bottom style="double">
        <color indexed="64"/>
      </bottom>
      <diagonal/>
    </border>
    <border>
      <left style="thin">
        <color indexed="23"/>
      </left>
      <right/>
      <top style="thin">
        <color indexed="64"/>
      </top>
      <bottom style="double">
        <color indexed="64"/>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rgb="FF808080"/>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rgb="FFDDDDDD"/>
      </left>
      <right style="thin">
        <color rgb="FF777777"/>
      </right>
      <top style="thin">
        <color rgb="FF777777"/>
      </top>
      <bottom/>
      <diagonal/>
    </border>
    <border>
      <left style="thin">
        <color rgb="FFDDDDDD"/>
      </left>
      <right/>
      <top style="double">
        <color indexed="64"/>
      </top>
      <bottom/>
      <diagonal/>
    </border>
    <border>
      <left style="thin">
        <color indexed="23"/>
      </left>
      <right/>
      <top style="double">
        <color indexed="64"/>
      </top>
      <bottom/>
      <diagonal/>
    </border>
    <border>
      <left/>
      <right/>
      <top style="double">
        <color indexed="64"/>
      </top>
      <bottom/>
      <diagonal/>
    </border>
    <border>
      <left style="double">
        <color indexed="64"/>
      </left>
      <right style="hair">
        <color indexed="64"/>
      </right>
      <top style="double">
        <color indexed="64"/>
      </top>
      <bottom/>
      <diagonal/>
    </border>
    <border>
      <left style="thin">
        <color indexed="64"/>
      </left>
      <right style="hair">
        <color indexed="64"/>
      </right>
      <top style="double">
        <color indexed="64"/>
      </top>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diagonal/>
    </border>
    <border>
      <left/>
      <right style="thin">
        <color rgb="FF808080"/>
      </right>
      <top style="double">
        <color indexed="64"/>
      </top>
      <bottom/>
      <diagonal/>
    </border>
    <border>
      <left/>
      <right style="double">
        <color indexed="64"/>
      </right>
      <top style="double">
        <color indexed="64"/>
      </top>
      <bottom/>
      <diagonal/>
    </border>
    <border>
      <left style="thin">
        <color rgb="FFDDDDDD"/>
      </left>
      <right/>
      <top style="thin">
        <color indexed="64"/>
      </top>
      <bottom style="thin">
        <color rgb="FF777777"/>
      </bottom>
      <diagonal/>
    </border>
    <border>
      <left style="thin">
        <color indexed="23"/>
      </left>
      <right/>
      <top style="thin">
        <color indexed="64"/>
      </top>
      <bottom style="thin">
        <color rgb="FF777777"/>
      </bottom>
      <diagonal/>
    </border>
    <border>
      <left style="double">
        <color indexed="64"/>
      </left>
      <right style="hair">
        <color indexed="64"/>
      </right>
      <top style="thin">
        <color indexed="64"/>
      </top>
      <bottom style="thin">
        <color rgb="FF777777"/>
      </bottom>
      <diagonal/>
    </border>
    <border>
      <left/>
      <right style="thin">
        <color indexed="64"/>
      </right>
      <top style="thin">
        <color indexed="64"/>
      </top>
      <bottom style="thin">
        <color rgb="FF777777"/>
      </bottom>
      <diagonal/>
    </border>
    <border>
      <left/>
      <right style="thin">
        <color rgb="FF808080"/>
      </right>
      <top style="thin">
        <color indexed="64"/>
      </top>
      <bottom style="thin">
        <color rgb="FF777777"/>
      </bottom>
      <diagonal/>
    </border>
    <border>
      <left/>
      <right style="double">
        <color indexed="64"/>
      </right>
      <top style="thin">
        <color indexed="64"/>
      </top>
      <bottom style="thin">
        <color rgb="FF777777"/>
      </bottom>
      <diagonal/>
    </border>
    <border>
      <left/>
      <right style="double">
        <color indexed="64"/>
      </right>
      <top style="thin">
        <color rgb="FFF8F8F8"/>
      </top>
      <bottom/>
      <diagonal/>
    </border>
    <border>
      <left style="double">
        <color indexed="64"/>
      </left>
      <right/>
      <top style="thin">
        <color rgb="FFF8F8F8"/>
      </top>
      <bottom style="thin">
        <color indexed="23"/>
      </bottom>
      <diagonal/>
    </border>
    <border>
      <left/>
      <right/>
      <top style="thin">
        <color rgb="FFF8F8F8"/>
      </top>
      <bottom style="thin">
        <color indexed="23"/>
      </bottom>
      <diagonal/>
    </border>
    <border>
      <left style="thin">
        <color indexed="8"/>
      </left>
      <right/>
      <top style="thin">
        <color rgb="FFF8F8F8"/>
      </top>
      <bottom style="thin">
        <color indexed="23"/>
      </bottom>
      <diagonal/>
    </border>
    <border>
      <left/>
      <right style="thin">
        <color rgb="FF808080"/>
      </right>
      <top style="thin">
        <color rgb="FFF8F8F8"/>
      </top>
      <bottom style="thin">
        <color indexed="23"/>
      </bottom>
      <diagonal/>
    </border>
    <border>
      <left style="double">
        <color indexed="64"/>
      </left>
      <right style="hair">
        <color indexed="64"/>
      </right>
      <top style="medium">
        <color rgb="FFF8F8F8"/>
      </top>
      <bottom style="thin">
        <color rgb="FF777777"/>
      </bottom>
      <diagonal/>
    </border>
    <border>
      <left/>
      <right style="thin">
        <color indexed="8"/>
      </right>
      <top style="medium">
        <color rgb="FFF8F8F8"/>
      </top>
      <bottom style="thin">
        <color rgb="FF777777"/>
      </bottom>
      <diagonal/>
    </border>
    <border>
      <left style="thin">
        <color indexed="8"/>
      </left>
      <right style="hair">
        <color indexed="64"/>
      </right>
      <top style="medium">
        <color rgb="FFF8F8F8"/>
      </top>
      <bottom style="thin">
        <color rgb="FF777777"/>
      </bottom>
      <diagonal/>
    </border>
    <border>
      <left/>
      <right style="double">
        <color indexed="64"/>
      </right>
      <top style="medium">
        <color rgb="FFF8F8F8"/>
      </top>
      <bottom style="thin">
        <color rgb="FF777777"/>
      </bottom>
      <diagonal/>
    </border>
    <border>
      <left style="thin">
        <color indexed="8"/>
      </left>
      <right style="hair">
        <color indexed="64"/>
      </right>
      <top/>
      <bottom/>
      <diagonal/>
    </border>
    <border>
      <left style="double">
        <color indexed="64"/>
      </left>
      <right style="hair">
        <color indexed="64"/>
      </right>
      <top style="thin">
        <color rgb="FF777777"/>
      </top>
      <bottom style="hair">
        <color indexed="64"/>
      </bottom>
      <diagonal/>
    </border>
    <border>
      <left/>
      <right style="thin">
        <color indexed="64"/>
      </right>
      <top style="thin">
        <color rgb="FF777777"/>
      </top>
      <bottom style="hair">
        <color indexed="64"/>
      </bottom>
      <diagonal/>
    </border>
    <border>
      <left style="thin">
        <color indexed="64"/>
      </left>
      <right style="hair">
        <color indexed="64"/>
      </right>
      <top style="thin">
        <color rgb="FF777777"/>
      </top>
      <bottom style="hair">
        <color indexed="64"/>
      </bottom>
      <diagonal/>
    </border>
    <border>
      <left style="hair">
        <color indexed="64"/>
      </left>
      <right style="thin">
        <color indexed="64"/>
      </right>
      <top style="thin">
        <color rgb="FF777777"/>
      </top>
      <bottom style="hair">
        <color indexed="64"/>
      </bottom>
      <diagonal/>
    </border>
    <border>
      <left style="thin">
        <color rgb="FFDDDDDD"/>
      </left>
      <right/>
      <top/>
      <bottom style="hair">
        <color indexed="64"/>
      </bottom>
      <diagonal/>
    </border>
    <border>
      <left style="double">
        <color indexed="64"/>
      </left>
      <right style="hair">
        <color indexed="64"/>
      </right>
      <top/>
      <bottom style="thin">
        <color rgb="FF777777"/>
      </bottom>
      <diagonal/>
    </border>
    <border>
      <left style="thin">
        <color indexed="64"/>
      </left>
      <right style="hair">
        <color indexed="64"/>
      </right>
      <top/>
      <bottom style="thin">
        <color rgb="FF777777"/>
      </bottom>
      <diagonal/>
    </border>
    <border>
      <left style="double">
        <color indexed="64"/>
      </left>
      <right style="hair">
        <color indexed="64"/>
      </right>
      <top style="hair">
        <color indexed="64"/>
      </top>
      <bottom style="thin">
        <color rgb="FF777777"/>
      </bottom>
      <diagonal/>
    </border>
    <border>
      <left/>
      <right style="thin">
        <color indexed="64"/>
      </right>
      <top style="hair">
        <color indexed="64"/>
      </top>
      <bottom style="thin">
        <color rgb="FF777777"/>
      </bottom>
      <diagonal/>
    </border>
    <border>
      <left style="thin">
        <color indexed="64"/>
      </left>
      <right style="hair">
        <color indexed="64"/>
      </right>
      <top style="hair">
        <color indexed="64"/>
      </top>
      <bottom style="thin">
        <color rgb="FF777777"/>
      </bottom>
      <diagonal/>
    </border>
    <border>
      <left/>
      <right style="double">
        <color auto="1"/>
      </right>
      <top style="hair">
        <color indexed="64"/>
      </top>
      <bottom style="thin">
        <color rgb="FF777777"/>
      </bottom>
      <diagonal/>
    </border>
    <border diagonalUp="1">
      <left style="thin">
        <color indexed="64"/>
      </left>
      <right/>
      <top style="thin">
        <color rgb="FF777777"/>
      </top>
      <bottom style="hair">
        <color indexed="64"/>
      </bottom>
      <diagonal style="thin">
        <color indexed="64"/>
      </diagonal>
    </border>
    <border diagonalUp="1">
      <left/>
      <right style="thin">
        <color rgb="FF808080"/>
      </right>
      <top style="thin">
        <color rgb="FF777777"/>
      </top>
      <bottom style="hair">
        <color indexed="64"/>
      </bottom>
      <diagonal style="thin">
        <color indexed="64"/>
      </diagonal>
    </border>
    <border diagonalUp="1">
      <left style="double">
        <color auto="1"/>
      </left>
      <right/>
      <top style="hair">
        <color indexed="64"/>
      </top>
      <bottom style="thin">
        <color rgb="FF777777"/>
      </bottom>
      <diagonal style="thin">
        <color auto="1"/>
      </diagonal>
    </border>
    <border diagonalUp="1">
      <left/>
      <right/>
      <top style="hair">
        <color indexed="64"/>
      </top>
      <bottom style="thin">
        <color rgb="FF777777"/>
      </bottom>
      <diagonal style="thin">
        <color auto="1"/>
      </diagonal>
    </border>
    <border diagonalUp="1">
      <left/>
      <right style="thin">
        <color indexed="64"/>
      </right>
      <top style="hair">
        <color indexed="64"/>
      </top>
      <bottom style="thin">
        <color rgb="FF777777"/>
      </bottom>
      <diagonal style="thin">
        <color auto="1"/>
      </diagonal>
    </border>
    <border>
      <left style="double">
        <color indexed="64"/>
      </left>
      <right/>
      <top style="medium">
        <color rgb="FFF8F8F8"/>
      </top>
      <bottom style="thin">
        <color rgb="FF777777"/>
      </bottom>
      <diagonal/>
    </border>
    <border>
      <left/>
      <right style="thin">
        <color indexed="64"/>
      </right>
      <top style="medium">
        <color rgb="FFF8F8F8"/>
      </top>
      <bottom style="thin">
        <color rgb="FF777777"/>
      </bottom>
      <diagonal/>
    </border>
    <border>
      <left style="double">
        <color indexed="64"/>
      </left>
      <right/>
      <top style="hair">
        <color indexed="64"/>
      </top>
      <bottom style="hair">
        <color indexed="64"/>
      </bottom>
      <diagonal/>
    </border>
    <border>
      <left style="thin">
        <color indexed="64"/>
      </left>
      <right/>
      <top style="hair">
        <color indexed="64"/>
      </top>
      <bottom style="hair">
        <color indexed="64"/>
      </bottom>
      <diagonal/>
    </border>
    <border>
      <left style="double">
        <color auto="1"/>
      </left>
      <right/>
      <top style="hair">
        <color indexed="64"/>
      </top>
      <bottom style="thin">
        <color rgb="FF777777"/>
      </bottom>
      <diagonal/>
    </border>
    <border>
      <left style="thin">
        <color indexed="64"/>
      </left>
      <right/>
      <top style="hair">
        <color indexed="64"/>
      </top>
      <bottom style="thin">
        <color rgb="FF777777"/>
      </bottom>
      <diagonal/>
    </border>
    <border>
      <left/>
      <right style="thin">
        <color indexed="64"/>
      </right>
      <top style="thin">
        <color indexed="64"/>
      </top>
      <bottom/>
      <diagonal/>
    </border>
    <border>
      <left style="thin">
        <color auto="1"/>
      </left>
      <right/>
      <top style="thin">
        <color auto="1"/>
      </top>
      <bottom/>
      <diagonal/>
    </border>
    <border>
      <left style="double">
        <color indexed="64"/>
      </left>
      <right style="hair">
        <color indexed="64"/>
      </right>
      <top style="thin">
        <color indexed="64"/>
      </top>
      <bottom/>
      <diagonal/>
    </border>
    <border>
      <left style="thin">
        <color indexed="8"/>
      </left>
      <right/>
      <top style="thin">
        <color indexed="64"/>
      </top>
      <bottom/>
      <diagonal/>
    </border>
    <border>
      <left style="thin">
        <color indexed="8"/>
      </left>
      <right style="hair">
        <color indexed="64"/>
      </right>
      <top style="thin">
        <color indexed="64"/>
      </top>
      <bottom/>
      <diagonal/>
    </border>
    <border>
      <left style="thin">
        <color rgb="FFDDDDDD"/>
      </left>
      <right/>
      <top style="thin">
        <color indexed="23"/>
      </top>
      <bottom/>
      <diagonal/>
    </border>
    <border>
      <left/>
      <right style="thin">
        <color indexed="64"/>
      </right>
      <top style="thin">
        <color indexed="64"/>
      </top>
      <bottom/>
      <diagonal/>
    </border>
    <border>
      <left/>
      <right style="hair">
        <color indexed="64"/>
      </right>
      <top style="thin">
        <color indexed="64"/>
      </top>
      <bottom/>
      <diagonal/>
    </border>
    <border>
      <left/>
      <right style="thin">
        <color rgb="FF808080"/>
      </right>
      <top style="thin">
        <color indexed="64"/>
      </top>
      <bottom/>
      <diagonal/>
    </border>
    <border>
      <left/>
      <right style="double">
        <color indexed="64"/>
      </right>
      <top style="thin">
        <color indexed="64"/>
      </top>
      <bottom/>
      <diagonal/>
    </border>
    <border>
      <left style="thin">
        <color auto="1"/>
      </left>
      <right/>
      <top style="thin">
        <color auto="1"/>
      </top>
      <bottom/>
      <diagonal/>
    </border>
    <border>
      <left style="thin">
        <color rgb="FFDDDDDD"/>
      </left>
      <right/>
      <top style="thin">
        <color indexed="23"/>
      </top>
      <bottom/>
      <diagonal/>
    </border>
    <border>
      <left/>
      <right style="thin">
        <color indexed="64"/>
      </right>
      <top style="thin">
        <color indexed="64"/>
      </top>
      <bottom/>
      <diagonal/>
    </border>
    <border>
      <left/>
      <right style="hair">
        <color indexed="64"/>
      </right>
      <top style="thin">
        <color indexed="64"/>
      </top>
      <bottom/>
      <diagonal/>
    </border>
    <border>
      <left/>
      <right style="thin">
        <color rgb="FF808080"/>
      </right>
      <top style="thin">
        <color indexed="64"/>
      </top>
      <bottom/>
      <diagonal/>
    </border>
    <border>
      <left/>
      <right style="double">
        <color indexed="64"/>
      </right>
      <top style="thin">
        <color indexed="64"/>
      </top>
      <bottom/>
      <diagonal/>
    </border>
    <border>
      <left style="hair">
        <color indexed="64"/>
      </left>
      <right style="hair">
        <color indexed="64"/>
      </right>
      <top/>
      <bottom style="thin">
        <color rgb="FF777777"/>
      </bottom>
      <diagonal/>
    </border>
    <border>
      <left style="thin">
        <color indexed="64"/>
      </left>
      <right style="thin">
        <color indexed="64"/>
      </right>
      <top/>
      <bottom style="thin">
        <color rgb="FF777777"/>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rgb="FFDDDDDD"/>
      </left>
      <right style="hair">
        <color indexed="64"/>
      </right>
      <top/>
      <bottom style="hair">
        <color indexed="64"/>
      </bottom>
      <diagonal/>
    </border>
    <border>
      <left style="thin">
        <color indexed="64"/>
      </left>
      <right style="thin">
        <color indexed="64"/>
      </right>
      <top style="thin">
        <color rgb="FF777777"/>
      </top>
      <bottom style="hair">
        <color indexed="64"/>
      </bottom>
      <diagonal/>
    </border>
    <border>
      <left style="thin">
        <color rgb="FFDDDDDD"/>
      </left>
      <right style="hair">
        <color indexed="64"/>
      </right>
      <top style="thin">
        <color rgb="FF777777"/>
      </top>
      <bottom style="hair">
        <color indexed="64"/>
      </bottom>
      <diagonal/>
    </border>
    <border>
      <left style="thin">
        <color rgb="FF777777"/>
      </left>
      <right/>
      <top/>
      <bottom style="thin">
        <color rgb="FF777777"/>
      </bottom>
      <diagonal/>
    </border>
    <border>
      <left style="thin">
        <color rgb="FF777777"/>
      </left>
      <right style="thin">
        <color rgb="FF808080"/>
      </right>
      <top style="medium">
        <color rgb="FFF8F8F8"/>
      </top>
      <bottom/>
      <diagonal/>
    </border>
    <border>
      <left style="thin">
        <color rgb="FF777777"/>
      </left>
      <right style="thin">
        <color rgb="FF777777"/>
      </right>
      <top style="medium">
        <color rgb="FFF8F8F8"/>
      </top>
      <bottom/>
      <diagonal/>
    </border>
    <border>
      <left style="thin">
        <color rgb="FFDDDDDD"/>
      </left>
      <right style="thin">
        <color rgb="FF777777"/>
      </right>
      <top style="medium">
        <color rgb="FFF8F8F8"/>
      </top>
      <bottom/>
      <diagonal/>
    </border>
    <border>
      <left style="thin">
        <color rgb="FF777777"/>
      </left>
      <right/>
      <top style="medium">
        <color rgb="FFF8F8F8"/>
      </top>
      <bottom/>
      <diagonal/>
    </border>
    <border>
      <left/>
      <right style="thin">
        <color rgb="FF777777"/>
      </right>
      <top style="medium">
        <color rgb="FFF8F8F8"/>
      </top>
      <bottom/>
      <diagonal/>
    </border>
    <border>
      <left style="hair">
        <color indexed="64"/>
      </left>
      <right style="hair">
        <color indexed="64"/>
      </right>
      <top style="hair">
        <color indexed="64"/>
      </top>
      <bottom/>
      <diagonal/>
    </border>
    <border>
      <left style="thin">
        <color indexed="64"/>
      </left>
      <right style="thin">
        <color indexed="64"/>
      </right>
      <top/>
      <bottom/>
      <diagonal/>
    </border>
    <border>
      <left style="hair">
        <color indexed="64"/>
      </left>
      <right style="thin">
        <color indexed="64"/>
      </right>
      <top style="hair">
        <color indexed="64"/>
      </top>
      <bottom/>
      <diagonal/>
    </border>
    <border>
      <left/>
      <right style="thin">
        <color indexed="64"/>
      </right>
      <top style="thin">
        <color rgb="FFF8F8F8"/>
      </top>
      <bottom style="hair">
        <color indexed="64"/>
      </bottom>
      <diagonal/>
    </border>
    <border>
      <left style="thin">
        <color indexed="64"/>
      </left>
      <right style="thin">
        <color indexed="64"/>
      </right>
      <top style="thin">
        <color rgb="FFF8F8F8"/>
      </top>
      <bottom/>
      <diagonal/>
    </border>
    <border>
      <left style="thin">
        <color rgb="FF777777"/>
      </left>
      <right style="thin">
        <color rgb="FF777777"/>
      </right>
      <top style="medium">
        <color rgb="FFF8F8F8"/>
      </top>
      <bottom style="thin">
        <color rgb="FF777777"/>
      </bottom>
      <diagonal/>
    </border>
    <border>
      <left style="thin">
        <color rgb="FFDDDDDD"/>
      </left>
      <right style="thin">
        <color rgb="FF777777"/>
      </right>
      <top style="medium">
        <color rgb="FFF8F8F8"/>
      </top>
      <bottom style="thin">
        <color rgb="FF777777"/>
      </bottom>
      <diagonal/>
    </border>
    <border>
      <left/>
      <right/>
      <top style="double">
        <color rgb="FF777777"/>
      </top>
      <bottom style="thin">
        <color rgb="FF777777"/>
      </bottom>
      <diagonal/>
    </border>
    <border>
      <left style="thin">
        <color rgb="FFDDDDDD"/>
      </left>
      <right/>
      <top style="double">
        <color rgb="FF777777"/>
      </top>
      <bottom style="thin">
        <color rgb="FF777777"/>
      </bottom>
      <diagonal/>
    </border>
    <border>
      <left style="hair">
        <color rgb="FF000000"/>
      </left>
      <right/>
      <top style="double">
        <color rgb="FF777777"/>
      </top>
      <bottom style="thin">
        <color rgb="FF777777"/>
      </bottom>
      <diagonal/>
    </border>
    <border>
      <left style="thin">
        <color rgb="FF000000"/>
      </left>
      <right/>
      <top style="double">
        <color rgb="FF777777"/>
      </top>
      <bottom style="thin">
        <color rgb="FF777777"/>
      </bottom>
      <diagonal/>
    </border>
    <border>
      <left style="hair">
        <color rgb="FF000000"/>
      </left>
      <right style="thin">
        <color rgb="FF808080"/>
      </right>
      <top style="double">
        <color rgb="FF777777"/>
      </top>
      <bottom style="thin">
        <color rgb="FF777777"/>
      </bottom>
      <diagonal/>
    </border>
    <border>
      <left/>
      <right style="hair">
        <color rgb="FF000000"/>
      </right>
      <top style="double">
        <color rgb="FF777777"/>
      </top>
      <bottom style="thin">
        <color rgb="FF777777"/>
      </bottom>
      <diagonal/>
    </border>
    <border>
      <left style="thin">
        <color indexed="64"/>
      </left>
      <right/>
      <top style="hair">
        <color indexed="64"/>
      </top>
      <bottom/>
      <diagonal/>
    </border>
    <border>
      <left/>
      <right/>
      <top/>
      <bottom style="thin">
        <color rgb="FFF8F8F8"/>
      </bottom>
      <diagonal/>
    </border>
    <border>
      <left/>
      <right/>
      <top style="medium">
        <color rgb="FF5F5F5F"/>
      </top>
      <bottom/>
      <diagonal/>
    </border>
    <border>
      <left/>
      <right/>
      <top/>
      <bottom style="medium">
        <color rgb="FF5F5F5F"/>
      </bottom>
      <diagonal/>
    </border>
    <border>
      <left/>
      <right style="thin">
        <color rgb="FFF8F8F8"/>
      </right>
      <top/>
      <bottom style="medium">
        <color rgb="FFF8F8F8"/>
      </bottom>
      <diagonal/>
    </border>
    <border>
      <left style="thin">
        <color rgb="FFDDDDDD"/>
      </left>
      <right/>
      <top/>
      <bottom style="medium">
        <color rgb="FFF8F8F8"/>
      </bottom>
      <diagonal/>
    </border>
    <border>
      <left/>
      <right style="thin">
        <color rgb="FFF8F8F8"/>
      </right>
      <top style="thin">
        <color rgb="FFB2B2B2"/>
      </top>
      <bottom/>
      <diagonal/>
    </border>
    <border>
      <left style="thin">
        <color rgb="FFDDDDDD"/>
      </left>
      <right/>
      <top style="thin">
        <color rgb="FFB2B2B2"/>
      </top>
      <bottom/>
      <diagonal/>
    </border>
    <border>
      <left style="thin">
        <color indexed="64"/>
      </left>
      <right style="thin">
        <color rgb="FF808080"/>
      </right>
      <top style="thin">
        <color rgb="FFF8F8F8"/>
      </top>
      <bottom/>
      <diagonal/>
    </border>
    <border>
      <left style="thin">
        <color indexed="64"/>
      </left>
      <right style="thin">
        <color rgb="FF808080"/>
      </right>
      <top/>
      <bottom/>
      <diagonal/>
    </border>
    <border>
      <left style="hair">
        <color indexed="64"/>
      </left>
      <right style="thin">
        <color indexed="64"/>
      </right>
      <top style="thin">
        <color rgb="FFDDDDDD"/>
      </top>
      <bottom style="thin">
        <color rgb="FF777777"/>
      </bottom>
      <diagonal/>
    </border>
    <border>
      <left/>
      <right style="hair">
        <color indexed="64"/>
      </right>
      <top style="thin">
        <color rgb="FFDDDDDD"/>
      </top>
      <bottom style="thin">
        <color rgb="FF777777"/>
      </bottom>
      <diagonal/>
    </border>
    <border>
      <left style="thin">
        <color indexed="64"/>
      </left>
      <right style="hair">
        <color indexed="64"/>
      </right>
      <top style="thin">
        <color rgb="FFDDDDDD"/>
      </top>
      <bottom style="thin">
        <color rgb="FF777777"/>
      </bottom>
      <diagonal/>
    </border>
    <border>
      <left/>
      <right style="thin">
        <color indexed="64"/>
      </right>
      <top style="thin">
        <color rgb="FFDDDDDD"/>
      </top>
      <bottom style="thin">
        <color rgb="FF777777"/>
      </bottom>
      <diagonal/>
    </border>
    <border>
      <left/>
      <right style="thin">
        <color rgb="FF808080"/>
      </right>
      <top style="thin">
        <color rgb="FFDDDDDD"/>
      </top>
      <bottom style="thin">
        <color rgb="FF777777"/>
      </bottom>
      <diagonal/>
    </border>
    <border>
      <left style="thin">
        <color rgb="FFDDDDDD"/>
      </left>
      <right/>
      <top style="thin">
        <color rgb="FFDDDDDD"/>
      </top>
      <bottom style="thin">
        <color rgb="FF777777"/>
      </bottom>
      <diagonal/>
    </border>
    <border>
      <left/>
      <right/>
      <top style="thin">
        <color rgb="FFDDDDDD"/>
      </top>
      <bottom style="thin">
        <color rgb="FF777777"/>
      </bottom>
      <diagonal/>
    </border>
    <border>
      <left style="thin">
        <color rgb="FFDDDDDD"/>
      </left>
      <right/>
      <top style="thin">
        <color rgb="FFDDDDDD"/>
      </top>
      <bottom/>
      <diagonal/>
    </border>
    <border>
      <left/>
      <right/>
      <top style="thin">
        <color rgb="FFDDDDDD"/>
      </top>
      <bottom/>
      <diagonal/>
    </border>
    <border>
      <left/>
      <right style="thin">
        <color rgb="FF808080"/>
      </right>
      <top style="thin">
        <color rgb="FFDDDDDD"/>
      </top>
      <bottom/>
      <diagonal/>
    </border>
    <border>
      <left style="thin">
        <color rgb="FFDDDDDD"/>
      </left>
      <right/>
      <top style="double">
        <color rgb="FF000000"/>
      </top>
      <bottom style="hair">
        <color rgb="FF000000"/>
      </bottom>
      <diagonal/>
    </border>
    <border>
      <left style="hair">
        <color rgb="FF000000"/>
      </left>
      <right/>
      <top style="double">
        <color rgb="FF000000"/>
      </top>
      <bottom style="hair">
        <color rgb="FF000000"/>
      </bottom>
      <diagonal/>
    </border>
    <border>
      <left style="thin">
        <color rgb="FF000000"/>
      </left>
      <right/>
      <top style="double">
        <color rgb="FF000000"/>
      </top>
      <bottom style="hair">
        <color rgb="FF000000"/>
      </bottom>
      <diagonal/>
    </border>
    <border>
      <left style="thin">
        <color rgb="FF000000"/>
      </left>
      <right style="thin">
        <color rgb="FF808080"/>
      </right>
      <top style="double">
        <color rgb="FF000000"/>
      </top>
      <bottom style="hair">
        <color rgb="FF000000"/>
      </bottom>
      <diagonal/>
    </border>
    <border>
      <left/>
      <right/>
      <top style="double">
        <color rgb="FF000000"/>
      </top>
      <bottom style="hair">
        <color rgb="FF000000"/>
      </bottom>
      <diagonal/>
    </border>
    <border>
      <left/>
      <right style="thin">
        <color rgb="FF000000"/>
      </right>
      <top style="double">
        <color rgb="FF000000"/>
      </top>
      <bottom style="hair">
        <color rgb="FF000000"/>
      </bottom>
      <diagonal/>
    </border>
    <border>
      <left style="thin">
        <color rgb="FFDDDDDD"/>
      </left>
      <right/>
      <top style="double">
        <color rgb="FF000000"/>
      </top>
      <bottom style="thin">
        <color rgb="FF777777"/>
      </bottom>
      <diagonal/>
    </border>
    <border>
      <left style="hair">
        <color rgb="FF000000"/>
      </left>
      <right/>
      <top style="double">
        <color rgb="FF000000"/>
      </top>
      <bottom style="thin">
        <color rgb="FF777777"/>
      </bottom>
      <diagonal/>
    </border>
    <border>
      <left style="thin">
        <color rgb="FF000000"/>
      </left>
      <right/>
      <top style="double">
        <color rgb="FF000000"/>
      </top>
      <bottom style="thin">
        <color rgb="FF777777"/>
      </bottom>
      <diagonal/>
    </border>
    <border>
      <left style="thin">
        <color rgb="FF000000"/>
      </left>
      <right style="thin">
        <color rgb="FF808080"/>
      </right>
      <top style="double">
        <color rgb="FF000000"/>
      </top>
      <bottom style="thin">
        <color rgb="FF777777"/>
      </bottom>
      <diagonal/>
    </border>
    <border>
      <left style="thin">
        <color rgb="FFDDDDDD"/>
      </left>
      <right/>
      <top style="double">
        <color rgb="FF000000"/>
      </top>
      <bottom/>
      <diagonal/>
    </border>
    <border>
      <left style="hair">
        <color rgb="FF000000"/>
      </left>
      <right/>
      <top style="double">
        <color rgb="FF000000"/>
      </top>
      <bottom/>
      <diagonal/>
    </border>
    <border>
      <left style="thin">
        <color rgb="FF000000"/>
      </left>
      <right/>
      <top style="double">
        <color rgb="FF000000"/>
      </top>
      <bottom/>
      <diagonal/>
    </border>
    <border>
      <left style="thin">
        <color rgb="FF000000"/>
      </left>
      <right style="thin">
        <color rgb="FF808080"/>
      </right>
      <top style="double">
        <color rgb="FF000000"/>
      </top>
      <bottom/>
      <diagonal/>
    </border>
    <border>
      <left style="thin">
        <color rgb="FFDDDDDD"/>
      </left>
      <right/>
      <top style="double">
        <color rgb="FF777777"/>
      </top>
      <bottom/>
      <diagonal/>
    </border>
    <border>
      <left/>
      <right/>
      <top style="double">
        <color rgb="FF777777"/>
      </top>
      <bottom/>
      <diagonal/>
    </border>
    <border>
      <left/>
      <right style="thin">
        <color rgb="FF000000"/>
      </right>
      <top style="double">
        <color rgb="FF777777"/>
      </top>
      <bottom/>
      <diagonal/>
    </border>
    <border>
      <left style="thin">
        <color rgb="FF000000"/>
      </left>
      <right/>
      <top style="double">
        <color rgb="FF777777"/>
      </top>
      <bottom/>
      <diagonal/>
    </border>
    <border>
      <left style="hair">
        <color rgb="FF000000"/>
      </left>
      <right/>
      <top style="double">
        <color rgb="FF777777"/>
      </top>
      <bottom/>
      <diagonal/>
    </border>
    <border>
      <left style="thin">
        <color rgb="FF000000"/>
      </left>
      <right style="thin">
        <color rgb="FF808080"/>
      </right>
      <top style="double">
        <color rgb="FF777777"/>
      </top>
      <bottom/>
      <diagonal/>
    </border>
    <border>
      <left style="thin">
        <color rgb="FF000000"/>
      </left>
      <right/>
      <top style="thin">
        <color rgb="FFDDDDDD"/>
      </top>
      <bottom style="thin">
        <color rgb="FF777777"/>
      </bottom>
      <diagonal/>
    </border>
    <border>
      <left style="hair">
        <color rgb="FF000000"/>
      </left>
      <right/>
      <top style="thin">
        <color rgb="FFDDDDDD"/>
      </top>
      <bottom style="thin">
        <color rgb="FF777777"/>
      </bottom>
      <diagonal/>
    </border>
    <border>
      <left style="thin">
        <color rgb="FF000000"/>
      </left>
      <right style="thin">
        <color rgb="FF808080"/>
      </right>
      <top style="thin">
        <color rgb="FFDDDDDD"/>
      </top>
      <bottom style="thin">
        <color rgb="FF777777"/>
      </bottom>
      <diagonal/>
    </border>
    <border>
      <left/>
      <right style="thin">
        <color rgb="FF000000"/>
      </right>
      <top style="thin">
        <color rgb="FFDDDDDD"/>
      </top>
      <bottom style="thin">
        <color rgb="FF777777"/>
      </bottom>
      <diagonal/>
    </border>
  </borders>
  <cellStyleXfs count="19">
    <xf numFmtId="0" fontId="0" fillId="0" borderId="0">
      <alignment vertical="center"/>
    </xf>
    <xf numFmtId="0" fontId="2" fillId="0" borderId="0"/>
    <xf numFmtId="0" fontId="7" fillId="0" borderId="0"/>
    <xf numFmtId="0" fontId="10" fillId="0" borderId="0"/>
    <xf numFmtId="0" fontId="5" fillId="0" borderId="0">
      <alignment vertical="center"/>
    </xf>
    <xf numFmtId="0" fontId="15" fillId="0" borderId="0"/>
    <xf numFmtId="0" fontId="24" fillId="0" borderId="0"/>
    <xf numFmtId="0" fontId="15" fillId="0" borderId="0"/>
    <xf numFmtId="0" fontId="2" fillId="0" borderId="0"/>
    <xf numFmtId="0" fontId="30" fillId="0" borderId="0"/>
    <xf numFmtId="0" fontId="24" fillId="0" borderId="0"/>
    <xf numFmtId="0" fontId="7" fillId="0" borderId="0"/>
    <xf numFmtId="38" fontId="10" fillId="0" borderId="0" applyFont="0" applyFill="0" applyBorder="0" applyAlignment="0" applyProtection="0"/>
    <xf numFmtId="0" fontId="9" fillId="0" borderId="0">
      <alignment vertical="center"/>
    </xf>
    <xf numFmtId="0" fontId="39" fillId="0" borderId="0"/>
    <xf numFmtId="0" fontId="10" fillId="0" borderId="0">
      <alignment vertical="center"/>
    </xf>
    <xf numFmtId="0" fontId="44" fillId="0" borderId="0"/>
    <xf numFmtId="0" fontId="39" fillId="0" borderId="0"/>
    <xf numFmtId="0" fontId="15" fillId="0" borderId="0"/>
  </cellStyleXfs>
  <cellXfs count="1697">
    <xf numFmtId="0" fontId="0" fillId="0" borderId="0" xfId="0">
      <alignment vertical="center"/>
    </xf>
    <xf numFmtId="0" fontId="2" fillId="0" borderId="0" xfId="1" applyFont="1" applyBorder="1" applyAlignment="1" applyProtection="1">
      <alignment vertical="center"/>
      <protection locked="0"/>
    </xf>
    <xf numFmtId="0" fontId="2" fillId="0" borderId="0" xfId="1" applyFont="1" applyBorder="1" applyProtection="1">
      <protection locked="0"/>
    </xf>
    <xf numFmtId="0" fontId="4" fillId="0" borderId="0" xfId="1" applyFont="1" applyAlignment="1" applyProtection="1">
      <alignment horizontal="right"/>
      <protection locked="0"/>
    </xf>
    <xf numFmtId="176" fontId="4" fillId="0" borderId="0" xfId="1" applyNumberFormat="1" applyFont="1" applyProtection="1"/>
    <xf numFmtId="0" fontId="2" fillId="0" borderId="0" xfId="1" applyFont="1" applyProtection="1">
      <protection locked="0"/>
    </xf>
    <xf numFmtId="0" fontId="5" fillId="0" borderId="0" xfId="1" applyFont="1" applyAlignment="1" applyProtection="1">
      <alignment vertical="center"/>
      <protection locked="0"/>
    </xf>
    <xf numFmtId="0" fontId="2" fillId="0" borderId="0" xfId="1" applyNumberFormat="1" applyFont="1" applyProtection="1">
      <protection locked="0"/>
    </xf>
    <xf numFmtId="0" fontId="6" fillId="2" borderId="1" xfId="1" applyFont="1" applyFill="1" applyBorder="1" applyAlignment="1" applyProtection="1">
      <alignment horizontal="center" vertical="center" shrinkToFit="1"/>
      <protection locked="0"/>
    </xf>
    <xf numFmtId="0" fontId="4" fillId="0" borderId="0" xfId="1" applyFont="1" applyAlignment="1" applyProtection="1">
      <alignment vertical="center"/>
      <protection locked="0"/>
    </xf>
    <xf numFmtId="0" fontId="8" fillId="2" borderId="2" xfId="2" applyFont="1" applyFill="1" applyBorder="1" applyAlignment="1" applyProtection="1">
      <alignment horizontal="left" vertical="center" indent="1"/>
      <protection locked="0"/>
    </xf>
    <xf numFmtId="0" fontId="11" fillId="2" borderId="3" xfId="3" applyFont="1" applyFill="1" applyBorder="1" applyAlignment="1">
      <alignment horizontal="center" vertical="center"/>
    </xf>
    <xf numFmtId="0" fontId="11" fillId="2" borderId="3" xfId="3" applyFont="1" applyFill="1" applyBorder="1"/>
    <xf numFmtId="0" fontId="11" fillId="2" borderId="4" xfId="3" applyFont="1" applyFill="1" applyBorder="1" applyAlignment="1">
      <alignment horizontal="center" vertical="center"/>
    </xf>
    <xf numFmtId="0" fontId="11" fillId="0" borderId="0" xfId="3" applyFont="1"/>
    <xf numFmtId="0" fontId="5" fillId="0" borderId="0" xfId="3" applyFont="1"/>
    <xf numFmtId="0" fontId="2" fillId="0" borderId="0" xfId="3" applyFont="1" applyBorder="1" applyAlignment="1">
      <alignment horizontal="center" vertical="center"/>
    </xf>
    <xf numFmtId="0" fontId="5" fillId="0" borderId="0" xfId="3" applyFont="1" applyBorder="1"/>
    <xf numFmtId="0" fontId="5" fillId="0" borderId="0" xfId="3" applyFont="1" applyBorder="1" applyAlignment="1"/>
    <xf numFmtId="0" fontId="5" fillId="0" borderId="0" xfId="3" applyFont="1" applyBorder="1" applyAlignment="1">
      <alignment horizontal="center"/>
    </xf>
    <xf numFmtId="0" fontId="5" fillId="3" borderId="5" xfId="3" applyFont="1" applyFill="1" applyBorder="1" applyAlignment="1">
      <alignment horizontal="center" vertical="center"/>
    </xf>
    <xf numFmtId="0" fontId="5" fillId="3" borderId="6" xfId="3" applyFont="1" applyFill="1" applyBorder="1" applyAlignment="1">
      <alignment horizontal="center" vertical="center"/>
    </xf>
    <xf numFmtId="0" fontId="5" fillId="3" borderId="6" xfId="3" applyFont="1" applyFill="1" applyBorder="1" applyAlignment="1">
      <alignment horizontal="center" vertical="center"/>
    </xf>
    <xf numFmtId="0" fontId="5" fillId="3" borderId="7" xfId="3" applyFont="1" applyFill="1" applyBorder="1" applyAlignment="1">
      <alignment horizontal="center" vertical="center"/>
    </xf>
    <xf numFmtId="0" fontId="5" fillId="3" borderId="8" xfId="3" applyFont="1" applyFill="1" applyBorder="1" applyAlignment="1">
      <alignment horizontal="center" vertical="center"/>
    </xf>
    <xf numFmtId="0" fontId="5" fillId="3" borderId="9" xfId="3" applyFont="1" applyFill="1" applyBorder="1" applyAlignment="1">
      <alignment horizontal="center" vertical="center"/>
    </xf>
    <xf numFmtId="0" fontId="5" fillId="3" borderId="9" xfId="3" applyFont="1" applyFill="1" applyBorder="1" applyAlignment="1">
      <alignment horizontal="center" vertical="center"/>
    </xf>
    <xf numFmtId="0" fontId="5" fillId="3" borderId="10" xfId="3" applyFont="1" applyFill="1" applyBorder="1" applyAlignment="1">
      <alignment horizontal="center" vertical="center"/>
    </xf>
    <xf numFmtId="0" fontId="5" fillId="0" borderId="11" xfId="3" applyFont="1" applyBorder="1" applyAlignment="1">
      <alignment horizontal="center" vertical="center"/>
    </xf>
    <xf numFmtId="0" fontId="5" fillId="0" borderId="12" xfId="3" applyFont="1" applyBorder="1" applyAlignment="1">
      <alignment horizontal="center" vertical="center"/>
    </xf>
    <xf numFmtId="177" fontId="5" fillId="0" borderId="12" xfId="3" applyNumberFormat="1" applyFont="1" applyBorder="1" applyAlignment="1">
      <alignment horizontal="right" vertical="center"/>
    </xf>
    <xf numFmtId="177" fontId="5" fillId="0" borderId="12" xfId="3" applyNumberFormat="1" applyFont="1" applyBorder="1" applyAlignment="1">
      <alignment horizontal="right" vertical="center"/>
    </xf>
    <xf numFmtId="177" fontId="5" fillId="0" borderId="13" xfId="3" applyNumberFormat="1" applyFont="1" applyBorder="1" applyAlignment="1">
      <alignment horizontal="right" vertical="center"/>
    </xf>
    <xf numFmtId="0" fontId="5" fillId="0" borderId="14" xfId="3" applyFont="1" applyBorder="1" applyAlignment="1">
      <alignment horizontal="center" vertical="center"/>
    </xf>
    <xf numFmtId="0" fontId="5" fillId="0" borderId="15" xfId="3" applyFont="1" applyBorder="1" applyAlignment="1">
      <alignment horizontal="center" vertical="center"/>
    </xf>
    <xf numFmtId="177" fontId="5" fillId="0" borderId="15" xfId="3" applyNumberFormat="1" applyFont="1" applyBorder="1" applyAlignment="1">
      <alignment horizontal="right" vertical="center"/>
    </xf>
    <xf numFmtId="177" fontId="5" fillId="0" borderId="16" xfId="3" applyNumberFormat="1" applyFont="1" applyBorder="1" applyAlignment="1">
      <alignment horizontal="right" vertical="center"/>
    </xf>
    <xf numFmtId="0" fontId="13" fillId="4" borderId="17" xfId="4" applyFont="1" applyFill="1" applyBorder="1" applyAlignment="1">
      <alignment horizontal="center" vertical="center"/>
    </xf>
    <xf numFmtId="0" fontId="13" fillId="5" borderId="17" xfId="4" applyFont="1" applyFill="1" applyBorder="1" applyAlignment="1">
      <alignment horizontal="center" vertical="center"/>
    </xf>
    <xf numFmtId="0" fontId="13" fillId="6" borderId="17" xfId="4" applyFont="1" applyFill="1" applyBorder="1" applyAlignment="1">
      <alignment horizontal="center" vertical="center"/>
    </xf>
    <xf numFmtId="0" fontId="14" fillId="3" borderId="5" xfId="3" applyFont="1" applyFill="1" applyBorder="1" applyAlignment="1">
      <alignment horizontal="justify" vertical="justify" wrapText="1"/>
    </xf>
    <xf numFmtId="0" fontId="14" fillId="3" borderId="6" xfId="3" applyFont="1" applyFill="1" applyBorder="1" applyAlignment="1">
      <alignment horizontal="justify" vertical="justify" wrapText="1"/>
    </xf>
    <xf numFmtId="178" fontId="5" fillId="3" borderId="6" xfId="3" applyNumberFormat="1" applyFont="1" applyFill="1" applyBorder="1" applyAlignment="1">
      <alignment horizontal="center" vertical="center"/>
    </xf>
    <xf numFmtId="178" fontId="5" fillId="3" borderId="7" xfId="3" applyNumberFormat="1" applyFont="1" applyFill="1" applyBorder="1" applyAlignment="1">
      <alignment horizontal="center" vertical="center"/>
    </xf>
    <xf numFmtId="0" fontId="5" fillId="0" borderId="11" xfId="3" applyFont="1" applyFill="1" applyBorder="1" applyAlignment="1">
      <alignment horizontal="center" vertical="center"/>
    </xf>
    <xf numFmtId="0" fontId="5" fillId="0" borderId="12" xfId="3" applyFont="1" applyFill="1" applyBorder="1" applyAlignment="1">
      <alignment horizontal="center" vertical="center"/>
    </xf>
    <xf numFmtId="179" fontId="5" fillId="0" borderId="18" xfId="3" applyNumberFormat="1" applyFont="1" applyFill="1" applyBorder="1" applyAlignment="1">
      <alignment horizontal="right" shrinkToFit="1"/>
    </xf>
    <xf numFmtId="179" fontId="5" fillId="0" borderId="19" xfId="3" applyNumberFormat="1" applyFont="1" applyFill="1" applyBorder="1" applyAlignment="1">
      <alignment horizontal="right" shrinkToFit="1"/>
    </xf>
    <xf numFmtId="179" fontId="5" fillId="0" borderId="12" xfId="3" applyNumberFormat="1" applyFont="1" applyFill="1" applyBorder="1" applyAlignment="1">
      <alignment horizontal="right" shrinkToFit="1"/>
    </xf>
    <xf numFmtId="179" fontId="5" fillId="0" borderId="13" xfId="3" applyNumberFormat="1" applyFont="1" applyFill="1" applyBorder="1" applyAlignment="1">
      <alignment horizontal="right" shrinkToFit="1"/>
    </xf>
    <xf numFmtId="0" fontId="16" fillId="2" borderId="3" xfId="5" applyFont="1" applyFill="1" applyBorder="1"/>
    <xf numFmtId="49" fontId="16" fillId="2" borderId="3" xfId="5" applyNumberFormat="1" applyFont="1" applyFill="1" applyBorder="1" applyAlignment="1">
      <alignment horizontal="center"/>
    </xf>
    <xf numFmtId="0" fontId="16" fillId="2" borderId="4" xfId="5" applyFont="1" applyFill="1" applyBorder="1"/>
    <xf numFmtId="0" fontId="16" fillId="0" borderId="0" xfId="5" applyFont="1" applyBorder="1"/>
    <xf numFmtId="0" fontId="13" fillId="0" borderId="0" xfId="5" applyFont="1"/>
    <xf numFmtId="0" fontId="5" fillId="0" borderId="20" xfId="4" applyBorder="1">
      <alignment vertical="center"/>
    </xf>
    <xf numFmtId="0" fontId="5" fillId="0" borderId="0" xfId="4">
      <alignment vertical="center"/>
    </xf>
    <xf numFmtId="0" fontId="17" fillId="0" borderId="0" xfId="5" applyFont="1" applyFill="1" applyBorder="1" applyAlignment="1">
      <alignment horizontal="left" vertical="center" wrapText="1"/>
    </xf>
    <xf numFmtId="0" fontId="13" fillId="7" borderId="21" xfId="5" applyFont="1" applyFill="1" applyBorder="1" applyAlignment="1">
      <alignment horizontal="center" vertical="center"/>
    </xf>
    <xf numFmtId="0" fontId="13" fillId="7" borderId="22" xfId="5" applyFont="1" applyFill="1" applyBorder="1" applyAlignment="1">
      <alignment horizontal="center" vertical="center"/>
    </xf>
    <xf numFmtId="0" fontId="13" fillId="7" borderId="23" xfId="5" applyFont="1" applyFill="1" applyBorder="1" applyAlignment="1">
      <alignment horizontal="center" vertical="center"/>
    </xf>
    <xf numFmtId="0" fontId="13" fillId="0" borderId="0" xfId="5" applyFont="1" applyBorder="1"/>
    <xf numFmtId="49" fontId="13" fillId="0" borderId="0" xfId="5" applyNumberFormat="1" applyFont="1" applyBorder="1" applyAlignment="1">
      <alignment horizontal="center"/>
    </xf>
    <xf numFmtId="0" fontId="13" fillId="0" borderId="0" xfId="5" applyFont="1" applyAlignment="1">
      <alignment horizontal="right"/>
    </xf>
    <xf numFmtId="0" fontId="13" fillId="3" borderId="24" xfId="5" applyFont="1" applyFill="1" applyBorder="1" applyAlignment="1">
      <alignment vertical="center"/>
    </xf>
    <xf numFmtId="178" fontId="13" fillId="3" borderId="25" xfId="5" applyNumberFormat="1" applyFont="1" applyFill="1" applyBorder="1" applyAlignment="1">
      <alignment horizontal="center" vertical="center"/>
    </xf>
    <xf numFmtId="178" fontId="13" fillId="3" borderId="26" xfId="5" applyNumberFormat="1" applyFont="1" applyFill="1" applyBorder="1" applyAlignment="1">
      <alignment horizontal="center" vertical="center"/>
    </xf>
    <xf numFmtId="178" fontId="13" fillId="3" borderId="27" xfId="5" applyNumberFormat="1" applyFont="1" applyFill="1" applyBorder="1" applyAlignment="1">
      <alignment horizontal="center" vertical="center"/>
    </xf>
    <xf numFmtId="0" fontId="13" fillId="0" borderId="28" xfId="5" applyFont="1" applyFill="1" applyBorder="1"/>
    <xf numFmtId="180" fontId="13" fillId="0" borderId="29" xfId="5" applyNumberFormat="1" applyFont="1" applyFill="1" applyBorder="1" applyAlignment="1"/>
    <xf numFmtId="180" fontId="13" fillId="0" borderId="30" xfId="5" applyNumberFormat="1" applyFont="1" applyFill="1" applyBorder="1" applyAlignment="1"/>
    <xf numFmtId="180" fontId="13" fillId="0" borderId="31" xfId="5" applyNumberFormat="1" applyFont="1" applyFill="1" applyBorder="1" applyAlignment="1"/>
    <xf numFmtId="49" fontId="13" fillId="0" borderId="0" xfId="5" applyNumberFormat="1" applyFont="1" applyAlignment="1">
      <alignment horizontal="center"/>
    </xf>
    <xf numFmtId="0" fontId="13" fillId="0" borderId="0" xfId="4" applyFont="1">
      <alignment vertical="center"/>
    </xf>
    <xf numFmtId="0" fontId="13" fillId="8" borderId="17" xfId="4" applyFont="1" applyFill="1" applyBorder="1" applyAlignment="1">
      <alignment horizontal="center" vertical="center"/>
    </xf>
    <xf numFmtId="0" fontId="13" fillId="3" borderId="32" xfId="5" applyFont="1" applyFill="1" applyBorder="1" applyAlignment="1">
      <alignment horizontal="center" vertical="center"/>
    </xf>
    <xf numFmtId="178" fontId="13" fillId="3" borderId="33" xfId="5" applyNumberFormat="1" applyFont="1" applyFill="1" applyBorder="1" applyAlignment="1">
      <alignment horizontal="center" vertical="center"/>
    </xf>
    <xf numFmtId="178" fontId="13" fillId="3" borderId="34" xfId="5" applyNumberFormat="1" applyFont="1" applyFill="1" applyBorder="1" applyAlignment="1">
      <alignment horizontal="center" vertical="center"/>
    </xf>
    <xf numFmtId="178" fontId="13" fillId="3" borderId="35" xfId="5" applyNumberFormat="1" applyFont="1" applyFill="1" applyBorder="1" applyAlignment="1">
      <alignment horizontal="center" vertical="center"/>
    </xf>
    <xf numFmtId="0" fontId="13" fillId="3" borderId="36" xfId="5" applyFont="1" applyFill="1" applyBorder="1" applyAlignment="1">
      <alignment horizontal="center" vertical="center"/>
    </xf>
    <xf numFmtId="178" fontId="13" fillId="3" borderId="37" xfId="5" applyNumberFormat="1" applyFont="1" applyFill="1" applyBorder="1" applyAlignment="1">
      <alignment horizontal="center" vertical="center"/>
    </xf>
    <xf numFmtId="178" fontId="13" fillId="3" borderId="38" xfId="5" applyNumberFormat="1" applyFont="1" applyFill="1" applyBorder="1" applyAlignment="1">
      <alignment horizontal="center" vertical="center"/>
    </xf>
    <xf numFmtId="178" fontId="13" fillId="3" borderId="0" xfId="5" applyNumberFormat="1" applyFont="1" applyFill="1" applyBorder="1" applyAlignment="1">
      <alignment horizontal="center" vertical="center"/>
    </xf>
    <xf numFmtId="0" fontId="13" fillId="0" borderId="0" xfId="5" applyFont="1" applyAlignment="1">
      <alignment horizontal="left" indent="1"/>
    </xf>
    <xf numFmtId="0" fontId="13" fillId="3" borderId="39" xfId="5" applyFont="1" applyFill="1" applyBorder="1" applyAlignment="1">
      <alignment horizontal="center" vertical="center"/>
    </xf>
    <xf numFmtId="178" fontId="13" fillId="3" borderId="0" xfId="5" applyNumberFormat="1" applyFont="1" applyFill="1" applyBorder="1" applyAlignment="1">
      <alignment horizontal="center" vertical="center" shrinkToFit="1"/>
    </xf>
    <xf numFmtId="178" fontId="13" fillId="3" borderId="40" xfId="5" applyNumberFormat="1" applyFont="1" applyFill="1" applyBorder="1" applyAlignment="1">
      <alignment horizontal="center" vertical="center"/>
    </xf>
    <xf numFmtId="178" fontId="13" fillId="3" borderId="37" xfId="5" applyNumberFormat="1" applyFont="1" applyFill="1" applyBorder="1" applyAlignment="1">
      <alignment horizontal="center" vertical="center"/>
    </xf>
    <xf numFmtId="178" fontId="13" fillId="3" borderId="41" xfId="5" applyNumberFormat="1" applyFont="1" applyFill="1" applyBorder="1" applyAlignment="1">
      <alignment horizontal="center" vertical="center" shrinkToFit="1"/>
    </xf>
    <xf numFmtId="178" fontId="13" fillId="3" borderId="42" xfId="5" applyNumberFormat="1" applyFont="1" applyFill="1" applyBorder="1" applyAlignment="1">
      <alignment horizontal="center" vertical="center" shrinkToFit="1"/>
    </xf>
    <xf numFmtId="178" fontId="13" fillId="3" borderId="43" xfId="5" applyNumberFormat="1" applyFont="1" applyFill="1" applyBorder="1" applyAlignment="1">
      <alignment horizontal="center" vertical="center" shrinkToFit="1"/>
    </xf>
    <xf numFmtId="178" fontId="13" fillId="3" borderId="44" xfId="5" applyNumberFormat="1" applyFont="1" applyFill="1" applyBorder="1" applyAlignment="1">
      <alignment horizontal="center" vertical="center" shrinkToFit="1"/>
    </xf>
    <xf numFmtId="178" fontId="13" fillId="3" borderId="45" xfId="5" applyNumberFormat="1" applyFont="1" applyFill="1" applyBorder="1" applyAlignment="1">
      <alignment horizontal="center" vertical="center" shrinkToFit="1"/>
    </xf>
    <xf numFmtId="178" fontId="13" fillId="3" borderId="40" xfId="5" applyNumberFormat="1" applyFont="1" applyFill="1" applyBorder="1" applyAlignment="1">
      <alignment horizontal="center" vertical="center" shrinkToFit="1"/>
    </xf>
    <xf numFmtId="178" fontId="13" fillId="3" borderId="46" xfId="5" applyNumberFormat="1" applyFont="1" applyFill="1" applyBorder="1" applyAlignment="1">
      <alignment horizontal="center" vertical="center" shrinkToFit="1"/>
    </xf>
    <xf numFmtId="49" fontId="13" fillId="0" borderId="0" xfId="5" applyNumberFormat="1" applyFont="1" applyAlignment="1">
      <alignment horizontal="left" indent="1"/>
    </xf>
    <xf numFmtId="178" fontId="13" fillId="0" borderId="47" xfId="5" applyNumberFormat="1" applyFont="1" applyFill="1" applyBorder="1" applyAlignment="1">
      <alignment horizontal="center" vertical="center"/>
    </xf>
    <xf numFmtId="181" fontId="13" fillId="0" borderId="15" xfId="5" applyNumberFormat="1" applyFont="1" applyFill="1" applyBorder="1" applyAlignment="1"/>
    <xf numFmtId="178" fontId="13" fillId="0" borderId="48" xfId="5" applyNumberFormat="1" applyFont="1" applyFill="1" applyBorder="1" applyAlignment="1">
      <alignment horizontal="center" vertical="center"/>
    </xf>
    <xf numFmtId="181" fontId="13" fillId="0" borderId="49" xfId="5" applyNumberFormat="1" applyFont="1" applyFill="1" applyBorder="1" applyAlignment="1"/>
    <xf numFmtId="178" fontId="13" fillId="0" borderId="50" xfId="5" applyNumberFormat="1" applyFont="1" applyFill="1" applyBorder="1" applyAlignment="1">
      <alignment horizontal="center" vertical="center"/>
    </xf>
    <xf numFmtId="181" fontId="13" fillId="0" borderId="13" xfId="5" applyNumberFormat="1" applyFont="1" applyFill="1" applyBorder="1" applyAlignment="1"/>
    <xf numFmtId="178" fontId="13" fillId="0" borderId="51" xfId="5" applyNumberFormat="1" applyFont="1" applyFill="1" applyBorder="1" applyAlignment="1">
      <alignment horizontal="center" vertical="center"/>
    </xf>
    <xf numFmtId="181" fontId="13" fillId="0" borderId="12" xfId="5" applyNumberFormat="1" applyFont="1" applyFill="1" applyBorder="1"/>
    <xf numFmtId="181" fontId="13" fillId="0" borderId="52" xfId="5" applyNumberFormat="1" applyFont="1" applyFill="1" applyBorder="1"/>
    <xf numFmtId="181" fontId="13" fillId="0" borderId="52" xfId="5" applyNumberFormat="1" applyFont="1" applyFill="1" applyBorder="1" applyAlignment="1">
      <alignment horizontal="center"/>
    </xf>
    <xf numFmtId="178" fontId="13" fillId="0" borderId="53" xfId="5" applyNumberFormat="1" applyFont="1" applyFill="1" applyBorder="1" applyAlignment="1">
      <alignment horizontal="center" vertical="center"/>
    </xf>
    <xf numFmtId="178" fontId="13" fillId="0" borderId="15" xfId="5" applyNumberFormat="1" applyFont="1" applyFill="1" applyBorder="1" applyAlignment="1">
      <alignment horizontal="center" vertical="center"/>
    </xf>
    <xf numFmtId="49" fontId="13" fillId="0" borderId="0" xfId="5" applyNumberFormat="1" applyFont="1"/>
    <xf numFmtId="0" fontId="13" fillId="9" borderId="17" xfId="4" applyFont="1" applyFill="1" applyBorder="1" applyAlignment="1">
      <alignment horizontal="center" vertical="center"/>
    </xf>
    <xf numFmtId="49" fontId="13" fillId="3" borderId="2" xfId="5" applyNumberFormat="1" applyFont="1" applyFill="1" applyBorder="1" applyAlignment="1">
      <alignment horizontal="center" vertical="center"/>
    </xf>
    <xf numFmtId="182" fontId="19" fillId="3" borderId="54" xfId="5" applyNumberFormat="1" applyFont="1" applyFill="1" applyBorder="1" applyAlignment="1">
      <alignment horizontal="center" vertical="center"/>
    </xf>
    <xf numFmtId="182" fontId="19" fillId="3" borderId="3" xfId="5" applyNumberFormat="1" applyFont="1" applyFill="1" applyBorder="1" applyAlignment="1">
      <alignment horizontal="center" vertical="center"/>
    </xf>
    <xf numFmtId="182" fontId="19" fillId="3" borderId="54" xfId="5" applyNumberFormat="1" applyFont="1" applyFill="1" applyBorder="1" applyAlignment="1">
      <alignment horizontal="center" vertical="center" shrinkToFit="1"/>
    </xf>
    <xf numFmtId="182" fontId="19" fillId="3" borderId="4" xfId="5" applyNumberFormat="1" applyFont="1" applyFill="1" applyBorder="1" applyAlignment="1">
      <alignment horizontal="center" vertical="center" shrinkToFit="1"/>
    </xf>
    <xf numFmtId="182" fontId="19" fillId="3" borderId="3" xfId="5" applyNumberFormat="1" applyFont="1" applyFill="1" applyBorder="1" applyAlignment="1">
      <alignment horizontal="center" vertical="center" shrinkToFit="1"/>
    </xf>
    <xf numFmtId="182" fontId="19" fillId="3" borderId="4" xfId="5" applyNumberFormat="1" applyFont="1" applyFill="1" applyBorder="1" applyAlignment="1">
      <alignment horizontal="center" vertical="center"/>
    </xf>
    <xf numFmtId="49" fontId="13" fillId="3" borderId="2" xfId="5" applyNumberFormat="1" applyFont="1" applyFill="1" applyBorder="1" applyAlignment="1">
      <alignment horizontal="center" vertical="center"/>
    </xf>
    <xf numFmtId="49" fontId="13" fillId="3" borderId="3" xfId="5" applyNumberFormat="1" applyFont="1" applyFill="1" applyBorder="1" applyAlignment="1">
      <alignment horizontal="center" vertical="center"/>
    </xf>
    <xf numFmtId="182" fontId="19" fillId="3" borderId="33" xfId="5" applyNumberFormat="1" applyFont="1" applyFill="1" applyBorder="1" applyAlignment="1">
      <alignment horizontal="center" vertical="center"/>
    </xf>
    <xf numFmtId="182" fontId="19" fillId="3" borderId="55" xfId="5" applyNumberFormat="1" applyFont="1" applyFill="1" applyBorder="1" applyAlignment="1">
      <alignment horizontal="center" vertical="center"/>
    </xf>
    <xf numFmtId="182" fontId="19" fillId="3" borderId="35" xfId="5" applyNumberFormat="1" applyFont="1" applyFill="1" applyBorder="1" applyAlignment="1">
      <alignment horizontal="center" vertical="center"/>
    </xf>
    <xf numFmtId="0" fontId="13" fillId="8" borderId="39" xfId="5" applyFont="1" applyFill="1" applyBorder="1" applyAlignment="1">
      <alignment horizontal="center"/>
    </xf>
    <xf numFmtId="181" fontId="13" fillId="0" borderId="56" xfId="5" applyNumberFormat="1" applyFont="1" applyBorder="1"/>
    <xf numFmtId="181" fontId="13" fillId="0" borderId="41" xfId="5" applyNumberFormat="1" applyFont="1" applyBorder="1"/>
    <xf numFmtId="181" fontId="13" fillId="0" borderId="57" xfId="5" applyNumberFormat="1" applyFont="1" applyBorder="1"/>
    <xf numFmtId="0" fontId="13" fillId="8" borderId="58" xfId="5" applyFont="1" applyFill="1" applyBorder="1" applyAlignment="1">
      <alignment horizontal="center"/>
    </xf>
    <xf numFmtId="0" fontId="13" fillId="8" borderId="31" xfId="5" applyFont="1" applyFill="1" applyBorder="1" applyAlignment="1">
      <alignment horizontal="center"/>
    </xf>
    <xf numFmtId="181" fontId="13" fillId="0" borderId="59" xfId="5" applyNumberFormat="1" applyFont="1" applyBorder="1"/>
    <xf numFmtId="181" fontId="13" fillId="0" borderId="60" xfId="5" applyNumberFormat="1" applyFont="1" applyBorder="1"/>
    <xf numFmtId="181" fontId="13" fillId="0" borderId="31" xfId="5" applyNumberFormat="1" applyFont="1" applyBorder="1"/>
    <xf numFmtId="0" fontId="13" fillId="9" borderId="39" xfId="5" applyFont="1" applyFill="1" applyBorder="1" applyAlignment="1">
      <alignment horizontal="center"/>
    </xf>
    <xf numFmtId="181" fontId="13" fillId="0" borderId="61" xfId="5" applyNumberFormat="1" applyFont="1" applyBorder="1"/>
    <xf numFmtId="181" fontId="13" fillId="0" borderId="59" xfId="5" applyNumberFormat="1" applyFont="1" applyBorder="1"/>
    <xf numFmtId="181" fontId="13" fillId="0" borderId="31" xfId="5" applyNumberFormat="1" applyFont="1" applyBorder="1"/>
    <xf numFmtId="0" fontId="13" fillId="9" borderId="58" xfId="5" applyFont="1" applyFill="1" applyBorder="1" applyAlignment="1">
      <alignment horizontal="center"/>
    </xf>
    <xf numFmtId="0" fontId="13" fillId="9" borderId="31" xfId="5" applyFont="1" applyFill="1" applyBorder="1" applyAlignment="1">
      <alignment horizontal="center"/>
    </xf>
    <xf numFmtId="180" fontId="20" fillId="0" borderId="30" xfId="5" applyNumberFormat="1" applyFont="1" applyFill="1" applyBorder="1" applyAlignment="1"/>
    <xf numFmtId="180" fontId="21" fillId="0" borderId="30" xfId="5" applyNumberFormat="1" applyFont="1" applyFill="1" applyBorder="1" applyAlignment="1"/>
    <xf numFmtId="180" fontId="22" fillId="0" borderId="30" xfId="5" applyNumberFormat="1" applyFont="1" applyFill="1" applyBorder="1" applyAlignment="1"/>
    <xf numFmtId="0" fontId="23" fillId="2" borderId="2" xfId="4" applyFont="1" applyFill="1" applyBorder="1" applyAlignment="1">
      <alignment horizontal="left" vertical="center" indent="1"/>
    </xf>
    <xf numFmtId="0" fontId="16" fillId="2" borderId="3" xfId="4" applyFont="1" applyFill="1" applyBorder="1">
      <alignment vertical="center"/>
    </xf>
    <xf numFmtId="0" fontId="16" fillId="2" borderId="3" xfId="5" applyFont="1" applyFill="1" applyBorder="1" applyAlignment="1">
      <alignment horizontal="right"/>
    </xf>
    <xf numFmtId="0" fontId="16" fillId="2" borderId="4" xfId="5" applyFont="1" applyFill="1" applyBorder="1" applyAlignment="1">
      <alignment horizontal="right"/>
    </xf>
    <xf numFmtId="0" fontId="16" fillId="0" borderId="0" xfId="4" applyFont="1">
      <alignment vertical="center"/>
    </xf>
    <xf numFmtId="0" fontId="13" fillId="0" borderId="0" xfId="4" applyFont="1" applyBorder="1">
      <alignment vertical="center"/>
    </xf>
    <xf numFmtId="0" fontId="13" fillId="0" borderId="0" xfId="5" applyFont="1" applyBorder="1" applyAlignment="1">
      <alignment horizontal="right"/>
    </xf>
    <xf numFmtId="0" fontId="13" fillId="3" borderId="24" xfId="5" applyFont="1" applyFill="1" applyBorder="1" applyAlignment="1">
      <alignment horizontal="center"/>
    </xf>
    <xf numFmtId="183" fontId="13" fillId="3" borderId="25" xfId="5" applyNumberFormat="1" applyFont="1" applyFill="1" applyBorder="1" applyAlignment="1">
      <alignment horizontal="center"/>
    </xf>
    <xf numFmtId="183" fontId="13" fillId="3" borderId="26" xfId="5" applyNumberFormat="1" applyFont="1" applyFill="1" applyBorder="1" applyAlignment="1">
      <alignment horizontal="center"/>
    </xf>
    <xf numFmtId="183" fontId="13" fillId="3" borderId="62" xfId="5" applyNumberFormat="1" applyFont="1" applyFill="1" applyBorder="1" applyAlignment="1">
      <alignment horizontal="center"/>
    </xf>
    <xf numFmtId="183" fontId="13" fillId="3" borderId="26" xfId="4" applyNumberFormat="1" applyFont="1" applyFill="1" applyBorder="1" applyAlignment="1">
      <alignment horizontal="center"/>
    </xf>
    <xf numFmtId="183" fontId="13" fillId="3" borderId="27" xfId="4" applyNumberFormat="1" applyFont="1" applyFill="1" applyBorder="1" applyAlignment="1">
      <alignment horizontal="center"/>
    </xf>
    <xf numFmtId="184" fontId="13" fillId="0" borderId="63" xfId="5" applyNumberFormat="1" applyFont="1" applyFill="1" applyBorder="1" applyAlignment="1">
      <alignment horizontal="center" vertical="center" shrinkToFit="1"/>
    </xf>
    <xf numFmtId="184" fontId="13" fillId="0" borderId="67" xfId="5" applyNumberFormat="1" applyFont="1" applyFill="1" applyBorder="1" applyAlignment="1">
      <alignment horizontal="center" vertical="center" shrinkToFit="1"/>
    </xf>
    <xf numFmtId="0" fontId="13" fillId="0" borderId="68" xfId="5" applyNumberFormat="1" applyFont="1" applyFill="1" applyBorder="1" applyAlignment="1">
      <alignment horizontal="right" vertical="center"/>
    </xf>
    <xf numFmtId="0" fontId="13" fillId="0" borderId="69" xfId="5" applyNumberFormat="1" applyFont="1" applyFill="1" applyBorder="1" applyAlignment="1">
      <alignment horizontal="right" vertical="center"/>
    </xf>
    <xf numFmtId="0" fontId="13" fillId="0" borderId="69" xfId="4" applyFont="1" applyBorder="1" applyAlignment="1">
      <alignment horizontal="right" vertical="center"/>
    </xf>
    <xf numFmtId="0" fontId="13" fillId="0" borderId="70" xfId="4" applyFont="1" applyBorder="1" applyAlignment="1">
      <alignment horizontal="right" vertical="center"/>
    </xf>
    <xf numFmtId="184" fontId="13" fillId="0" borderId="71" xfId="5" applyNumberFormat="1" applyFont="1" applyFill="1" applyBorder="1" applyAlignment="1">
      <alignment horizontal="center" vertical="center" shrinkToFit="1"/>
    </xf>
    <xf numFmtId="0" fontId="19" fillId="3" borderId="75" xfId="6" applyFont="1" applyFill="1" applyBorder="1" applyAlignment="1" applyProtection="1">
      <alignment horizontal="center"/>
    </xf>
    <xf numFmtId="0" fontId="13" fillId="3" borderId="27" xfId="4" applyFont="1" applyFill="1" applyBorder="1" applyAlignment="1">
      <alignment horizontal="center"/>
    </xf>
    <xf numFmtId="0" fontId="13" fillId="3" borderId="34" xfId="4" applyFont="1" applyFill="1" applyBorder="1" applyAlignment="1">
      <alignment horizontal="center"/>
    </xf>
    <xf numFmtId="0" fontId="13" fillId="3" borderId="25" xfId="4" applyFont="1" applyFill="1" applyBorder="1" applyAlignment="1">
      <alignment horizontal="center"/>
    </xf>
    <xf numFmtId="0" fontId="19" fillId="7" borderId="76" xfId="6" applyNumberFormat="1" applyFont="1" applyFill="1" applyBorder="1" applyAlignment="1" applyProtection="1">
      <alignment horizontal="center" vertical="center"/>
    </xf>
    <xf numFmtId="185" fontId="13" fillId="0" borderId="66" xfId="4" applyNumberFormat="1" applyFont="1" applyBorder="1" applyAlignment="1">
      <alignment horizontal="right" vertical="center" shrinkToFit="1"/>
    </xf>
    <xf numFmtId="0" fontId="13" fillId="7" borderId="77" xfId="4" applyNumberFormat="1" applyFont="1" applyFill="1" applyBorder="1" applyAlignment="1">
      <alignment horizontal="center" vertical="center" shrinkToFit="1"/>
    </xf>
    <xf numFmtId="185" fontId="13" fillId="0" borderId="66" xfId="4" applyNumberFormat="1" applyFont="1" applyFill="1" applyBorder="1" applyAlignment="1">
      <alignment horizontal="right" vertical="center" shrinkToFit="1"/>
    </xf>
    <xf numFmtId="0" fontId="13" fillId="7" borderId="64" xfId="4" applyNumberFormat="1" applyFont="1" applyFill="1" applyBorder="1" applyAlignment="1">
      <alignment horizontal="center" vertical="center" shrinkToFit="1"/>
    </xf>
    <xf numFmtId="185" fontId="13" fillId="0" borderId="66" xfId="4" applyNumberFormat="1" applyFont="1" applyBorder="1" applyAlignment="1">
      <alignment horizontal="right" vertical="center"/>
    </xf>
    <xf numFmtId="0" fontId="13" fillId="0" borderId="0" xfId="4" applyFont="1" applyAlignment="1">
      <alignment horizontal="left" vertical="center" indent="1"/>
    </xf>
    <xf numFmtId="0" fontId="19" fillId="7" borderId="78" xfId="6" applyNumberFormat="1" applyFont="1" applyFill="1" applyBorder="1" applyAlignment="1" applyProtection="1">
      <alignment horizontal="center" vertical="center"/>
    </xf>
    <xf numFmtId="185" fontId="13" fillId="0" borderId="70" xfId="4" applyNumberFormat="1" applyFont="1" applyBorder="1" applyAlignment="1">
      <alignment horizontal="right" vertical="center" shrinkToFit="1"/>
    </xf>
    <xf numFmtId="0" fontId="13" fillId="7" borderId="79" xfId="4" applyNumberFormat="1" applyFont="1" applyFill="1" applyBorder="1" applyAlignment="1">
      <alignment horizontal="center" vertical="center" shrinkToFit="1"/>
    </xf>
    <xf numFmtId="185" fontId="13" fillId="0" borderId="70" xfId="4" applyNumberFormat="1" applyFont="1" applyFill="1" applyBorder="1" applyAlignment="1">
      <alignment horizontal="right" vertical="center" shrinkToFit="1"/>
    </xf>
    <xf numFmtId="0" fontId="13" fillId="7" borderId="68" xfId="4" applyNumberFormat="1" applyFont="1" applyFill="1" applyBorder="1" applyAlignment="1">
      <alignment horizontal="center" vertical="center" shrinkToFit="1"/>
    </xf>
    <xf numFmtId="185" fontId="13" fillId="0" borderId="70" xfId="4" applyNumberFormat="1" applyFont="1" applyBorder="1" applyAlignment="1">
      <alignment horizontal="right" vertical="center"/>
    </xf>
    <xf numFmtId="186" fontId="5" fillId="0" borderId="0" xfId="2" applyNumberFormat="1" applyFont="1" applyFill="1" applyBorder="1" applyAlignment="1" applyProtection="1">
      <alignment horizontal="left" vertical="center" indent="1"/>
    </xf>
    <xf numFmtId="0" fontId="19" fillId="7" borderId="80" xfId="6" applyNumberFormat="1" applyFont="1" applyFill="1" applyBorder="1" applyAlignment="1" applyProtection="1">
      <alignment horizontal="center" vertical="center"/>
    </xf>
    <xf numFmtId="185" fontId="13" fillId="0" borderId="74" xfId="4" applyNumberFormat="1" applyFont="1" applyBorder="1" applyAlignment="1">
      <alignment horizontal="right" vertical="center" shrinkToFit="1"/>
    </xf>
    <xf numFmtId="0" fontId="13" fillId="7" borderId="81" xfId="4" applyNumberFormat="1" applyFont="1" applyFill="1" applyBorder="1" applyAlignment="1">
      <alignment horizontal="center" vertical="center" shrinkToFit="1"/>
    </xf>
    <xf numFmtId="185" fontId="13" fillId="0" borderId="74" xfId="4" applyNumberFormat="1" applyFont="1" applyFill="1" applyBorder="1" applyAlignment="1">
      <alignment horizontal="right" vertical="center" shrinkToFit="1"/>
    </xf>
    <xf numFmtId="0" fontId="13" fillId="7" borderId="72" xfId="4" applyNumberFormat="1" applyFont="1" applyFill="1" applyBorder="1" applyAlignment="1">
      <alignment horizontal="center" vertical="center" shrinkToFit="1"/>
    </xf>
    <xf numFmtId="185" fontId="13" fillId="0" borderId="74" xfId="4" applyNumberFormat="1" applyFont="1" applyBorder="1" applyAlignment="1">
      <alignment horizontal="right" vertical="center"/>
    </xf>
    <xf numFmtId="0" fontId="25" fillId="0" borderId="64" xfId="5" applyNumberFormat="1" applyFont="1" applyFill="1" applyBorder="1" applyAlignment="1">
      <alignment horizontal="right" vertical="center"/>
    </xf>
    <xf numFmtId="0" fontId="25" fillId="0" borderId="65" xfId="5" applyNumberFormat="1" applyFont="1" applyFill="1" applyBorder="1" applyAlignment="1">
      <alignment horizontal="right" vertical="center"/>
    </xf>
    <xf numFmtId="0" fontId="25" fillId="0" borderId="65" xfId="4" applyFont="1" applyBorder="1" applyAlignment="1">
      <alignment horizontal="right" vertical="center"/>
    </xf>
    <xf numFmtId="0" fontId="25" fillId="0" borderId="66" xfId="4" applyFont="1" applyBorder="1" applyAlignment="1">
      <alignment horizontal="right" vertical="center"/>
    </xf>
    <xf numFmtId="0" fontId="25" fillId="0" borderId="68" xfId="5" applyNumberFormat="1" applyFont="1" applyFill="1" applyBorder="1" applyAlignment="1">
      <alignment horizontal="right" vertical="center"/>
    </xf>
    <xf numFmtId="0" fontId="25" fillId="0" borderId="69" xfId="5" applyNumberFormat="1" applyFont="1" applyFill="1" applyBorder="1" applyAlignment="1">
      <alignment horizontal="right" vertical="center"/>
    </xf>
    <xf numFmtId="0" fontId="25" fillId="0" borderId="69" xfId="4" applyFont="1" applyBorder="1" applyAlignment="1">
      <alignment horizontal="right" vertical="center"/>
    </xf>
    <xf numFmtId="0" fontId="25" fillId="0" borderId="70" xfId="4" applyFont="1" applyBorder="1" applyAlignment="1">
      <alignment horizontal="right" vertical="center"/>
    </xf>
    <xf numFmtId="0" fontId="25" fillId="0" borderId="72" xfId="5" applyNumberFormat="1" applyFont="1" applyFill="1" applyBorder="1" applyAlignment="1">
      <alignment horizontal="right" vertical="center"/>
    </xf>
    <xf numFmtId="0" fontId="25" fillId="0" borderId="73" xfId="5" applyNumberFormat="1" applyFont="1" applyFill="1" applyBorder="1" applyAlignment="1">
      <alignment horizontal="right" vertical="center"/>
    </xf>
    <xf numFmtId="0" fontId="25" fillId="0" borderId="73" xfId="4" applyFont="1" applyBorder="1" applyAlignment="1">
      <alignment horizontal="right" vertical="center"/>
    </xf>
    <xf numFmtId="0" fontId="25" fillId="0" borderId="74" xfId="4" applyFont="1" applyBorder="1" applyAlignment="1">
      <alignment horizontal="right" vertical="center"/>
    </xf>
    <xf numFmtId="0" fontId="26" fillId="2" borderId="2" xfId="7" applyNumberFormat="1" applyFont="1" applyFill="1" applyBorder="1" applyAlignment="1">
      <alignment horizontal="left" vertical="center" indent="1"/>
    </xf>
    <xf numFmtId="0" fontId="13" fillId="2" borderId="3" xfId="7" applyNumberFormat="1" applyFont="1" applyFill="1" applyBorder="1"/>
    <xf numFmtId="0" fontId="13" fillId="2" borderId="4" xfId="7" applyNumberFormat="1" applyFont="1" applyFill="1" applyBorder="1"/>
    <xf numFmtId="0" fontId="13" fillId="0" borderId="0" xfId="8" applyFont="1"/>
    <xf numFmtId="0" fontId="13" fillId="0" borderId="0" xfId="8" applyNumberFormat="1" applyFont="1" applyBorder="1" applyAlignment="1">
      <alignment horizontal="center"/>
    </xf>
    <xf numFmtId="0" fontId="13" fillId="0" borderId="0" xfId="8" applyNumberFormat="1" applyFont="1" applyBorder="1"/>
    <xf numFmtId="0" fontId="13" fillId="0" borderId="0" xfId="8" applyNumberFormat="1" applyFont="1" applyBorder="1" applyAlignment="1">
      <alignment horizontal="right"/>
    </xf>
    <xf numFmtId="49" fontId="27" fillId="3" borderId="82" xfId="3" applyNumberFormat="1" applyFont="1" applyFill="1" applyBorder="1" applyAlignment="1">
      <alignment horizontal="center" vertical="center"/>
    </xf>
    <xf numFmtId="0" fontId="27" fillId="3" borderId="83" xfId="3" applyFont="1" applyFill="1" applyBorder="1" applyAlignment="1">
      <alignment horizontal="center" vertical="center" wrapText="1"/>
    </xf>
    <xf numFmtId="0" fontId="27" fillId="3" borderId="84" xfId="3" applyFont="1" applyFill="1" applyBorder="1" applyAlignment="1">
      <alignment horizontal="center" vertical="center" wrapText="1"/>
    </xf>
    <xf numFmtId="0" fontId="27" fillId="3" borderId="85" xfId="3" applyFont="1" applyFill="1" applyBorder="1" applyAlignment="1">
      <alignment horizontal="center" vertical="center" wrapText="1"/>
    </xf>
    <xf numFmtId="0" fontId="13" fillId="0" borderId="0" xfId="8" applyFont="1" applyBorder="1"/>
    <xf numFmtId="49" fontId="27" fillId="3" borderId="86" xfId="3" applyNumberFormat="1" applyFont="1" applyFill="1" applyBorder="1" applyAlignment="1">
      <alignment horizontal="center" vertical="center"/>
    </xf>
    <xf numFmtId="0" fontId="27" fillId="3" borderId="87" xfId="3" applyFont="1" applyFill="1" applyBorder="1" applyAlignment="1">
      <alignment horizontal="center" vertical="center" wrapText="1"/>
    </xf>
    <xf numFmtId="0" fontId="27" fillId="3" borderId="88" xfId="3" applyFont="1" applyFill="1" applyBorder="1" applyAlignment="1">
      <alignment horizontal="center" vertical="center" wrapText="1"/>
    </xf>
    <xf numFmtId="0" fontId="27" fillId="3" borderId="89" xfId="3" applyFont="1" applyFill="1" applyBorder="1" applyAlignment="1">
      <alignment horizontal="center" vertical="center" wrapText="1"/>
    </xf>
    <xf numFmtId="0" fontId="27" fillId="3" borderId="38" xfId="3" applyFont="1" applyFill="1" applyBorder="1" applyAlignment="1">
      <alignment horizontal="center" vertical="center" wrapText="1"/>
    </xf>
    <xf numFmtId="49" fontId="27" fillId="0" borderId="90" xfId="3" applyNumberFormat="1" applyFont="1" applyFill="1" applyBorder="1" applyAlignment="1">
      <alignment horizontal="center"/>
    </xf>
    <xf numFmtId="181" fontId="27" fillId="0" borderId="91" xfId="3" applyNumberFormat="1" applyFont="1" applyFill="1" applyBorder="1" applyAlignment="1"/>
    <xf numFmtId="181" fontId="27" fillId="0" borderId="91" xfId="3" applyNumberFormat="1" applyFont="1" applyFill="1" applyBorder="1" applyAlignment="1">
      <alignment horizontal="center"/>
    </xf>
    <xf numFmtId="181" fontId="27" fillId="0" borderId="92" xfId="3" applyNumberFormat="1" applyFont="1" applyFill="1" applyBorder="1" applyAlignment="1">
      <alignment horizontal="center"/>
    </xf>
    <xf numFmtId="0" fontId="27" fillId="0" borderId="93" xfId="3" applyFont="1" applyFill="1" applyBorder="1" applyAlignment="1">
      <alignment horizontal="center"/>
    </xf>
    <xf numFmtId="181" fontId="27" fillId="0" borderId="94" xfId="3" applyNumberFormat="1" applyFont="1" applyFill="1" applyBorder="1" applyAlignment="1"/>
    <xf numFmtId="181" fontId="27" fillId="0" borderId="94" xfId="3" applyNumberFormat="1" applyFont="1" applyFill="1" applyBorder="1" applyAlignment="1">
      <alignment horizontal="center"/>
    </xf>
    <xf numFmtId="181" fontId="27" fillId="0" borderId="95" xfId="3" applyNumberFormat="1" applyFont="1" applyFill="1" applyBorder="1" applyAlignment="1">
      <alignment horizontal="center"/>
    </xf>
    <xf numFmtId="49" fontId="27" fillId="0" borderId="93" xfId="3" applyNumberFormat="1" applyFont="1" applyFill="1" applyBorder="1" applyAlignment="1">
      <alignment horizontal="center"/>
    </xf>
    <xf numFmtId="0" fontId="13" fillId="0" borderId="96" xfId="8" applyFont="1" applyBorder="1"/>
    <xf numFmtId="0" fontId="13" fillId="0" borderId="97" xfId="8" applyFont="1" applyBorder="1"/>
    <xf numFmtId="0" fontId="13" fillId="0" borderId="56" xfId="8" applyFont="1" applyBorder="1"/>
    <xf numFmtId="49" fontId="28" fillId="2" borderId="2" xfId="5" applyNumberFormat="1" applyFont="1" applyFill="1" applyBorder="1" applyAlignment="1">
      <alignment horizontal="left" vertical="center" indent="1"/>
    </xf>
    <xf numFmtId="0" fontId="29" fillId="0" borderId="0" xfId="5" applyFont="1" applyBorder="1"/>
    <xf numFmtId="0" fontId="13" fillId="0" borderId="20" xfId="5" applyFont="1" applyBorder="1"/>
    <xf numFmtId="0" fontId="13" fillId="3" borderId="98" xfId="9" applyFont="1" applyFill="1" applyBorder="1" applyAlignment="1">
      <alignment horizontal="centerContinuous"/>
    </xf>
    <xf numFmtId="0" fontId="13" fillId="3" borderId="99" xfId="5" applyFont="1" applyFill="1" applyBorder="1" applyAlignment="1">
      <alignment horizontal="centerContinuous"/>
    </xf>
    <xf numFmtId="0" fontId="13" fillId="3" borderId="85" xfId="5" applyFont="1" applyFill="1" applyBorder="1" applyAlignment="1">
      <alignment horizontal="centerContinuous"/>
    </xf>
    <xf numFmtId="0" fontId="13" fillId="3" borderId="100" xfId="9" applyFont="1" applyFill="1" applyBorder="1" applyAlignment="1">
      <alignment horizontal="center"/>
    </xf>
    <xf numFmtId="0" fontId="13" fillId="3" borderId="40" xfId="9" applyFont="1" applyFill="1" applyBorder="1" applyAlignment="1">
      <alignment horizontal="center"/>
    </xf>
    <xf numFmtId="0" fontId="13" fillId="3" borderId="38" xfId="9" applyFont="1" applyFill="1" applyBorder="1" applyAlignment="1">
      <alignment horizontal="center"/>
    </xf>
    <xf numFmtId="187" fontId="13" fillId="0" borderId="101" xfId="5" applyNumberFormat="1" applyFont="1" applyBorder="1" applyAlignment="1">
      <alignment horizontal="center" shrinkToFit="1"/>
    </xf>
    <xf numFmtId="187" fontId="13" fillId="0" borderId="102" xfId="5" applyNumberFormat="1" applyFont="1" applyBorder="1" applyAlignment="1">
      <alignment horizontal="center" shrinkToFit="1"/>
    </xf>
    <xf numFmtId="187" fontId="13" fillId="0" borderId="31" xfId="5" applyNumberFormat="1" applyFont="1" applyBorder="1" applyAlignment="1">
      <alignment horizontal="center" shrinkToFit="1"/>
    </xf>
    <xf numFmtId="0" fontId="13" fillId="4" borderId="103" xfId="4" applyFont="1" applyFill="1" applyBorder="1" applyAlignment="1">
      <alignment horizontal="center" vertical="center"/>
    </xf>
    <xf numFmtId="0" fontId="13" fillId="3" borderId="32" xfId="5" applyFont="1" applyFill="1" applyBorder="1" applyAlignment="1">
      <alignment horizontal="center"/>
    </xf>
    <xf numFmtId="0" fontId="13" fillId="3" borderId="25" xfId="5" applyFont="1" applyFill="1" applyBorder="1" applyAlignment="1">
      <alignment horizontal="center"/>
    </xf>
    <xf numFmtId="0" fontId="13" fillId="3" borderId="26" xfId="5" applyFont="1" applyFill="1" applyBorder="1" applyAlignment="1">
      <alignment horizontal="center"/>
    </xf>
    <xf numFmtId="0" fontId="13" fillId="3" borderId="27" xfId="5" applyFont="1" applyFill="1" applyBorder="1" applyAlignment="1">
      <alignment horizontal="center"/>
    </xf>
    <xf numFmtId="0" fontId="13" fillId="0" borderId="104" xfId="5" applyFont="1" applyBorder="1" applyAlignment="1">
      <alignment horizontal="center" shrinkToFit="1"/>
    </xf>
    <xf numFmtId="0" fontId="13" fillId="0" borderId="105" xfId="5" applyFont="1" applyBorder="1"/>
    <xf numFmtId="0" fontId="13" fillId="0" borderId="106" xfId="5" applyFont="1" applyBorder="1"/>
    <xf numFmtId="0" fontId="13" fillId="0" borderId="107" xfId="5" applyFont="1" applyBorder="1"/>
    <xf numFmtId="0" fontId="13" fillId="0" borderId="105" xfId="5" applyFont="1" applyBorder="1"/>
    <xf numFmtId="0" fontId="13" fillId="0" borderId="106" xfId="5" applyFont="1" applyBorder="1"/>
    <xf numFmtId="0" fontId="13" fillId="0" borderId="107" xfId="5" applyFont="1" applyBorder="1"/>
    <xf numFmtId="0" fontId="13" fillId="0" borderId="108" xfId="5" applyFont="1" applyBorder="1" applyAlignment="1">
      <alignment horizontal="center" shrinkToFit="1"/>
    </xf>
    <xf numFmtId="0" fontId="13" fillId="0" borderId="109" xfId="5" applyFont="1" applyBorder="1"/>
    <xf numFmtId="0" fontId="13" fillId="0" borderId="110" xfId="5" applyFont="1" applyBorder="1"/>
    <xf numFmtId="0" fontId="13" fillId="0" borderId="111" xfId="5" applyFont="1" applyBorder="1"/>
    <xf numFmtId="0" fontId="13" fillId="0" borderId="108" xfId="5" applyFont="1" applyBorder="1" applyAlignment="1">
      <alignment horizontal="center"/>
    </xf>
    <xf numFmtId="0" fontId="13" fillId="0" borderId="112" xfId="5" applyFont="1" applyBorder="1" applyAlignment="1">
      <alignment horizontal="center" vertical="center"/>
    </xf>
    <xf numFmtId="0" fontId="13" fillId="0" borderId="113" xfId="5" applyFont="1" applyBorder="1" applyAlignment="1">
      <alignment wrapText="1"/>
    </xf>
    <xf numFmtId="0" fontId="13" fillId="0" borderId="114" xfId="5" applyFont="1" applyBorder="1"/>
    <xf numFmtId="0" fontId="13" fillId="0" borderId="115" xfId="5" applyFont="1" applyBorder="1"/>
    <xf numFmtId="0" fontId="13" fillId="0" borderId="36" xfId="5" applyFont="1" applyBorder="1" applyAlignment="1">
      <alignment horizontal="center" vertical="center"/>
    </xf>
    <xf numFmtId="0" fontId="13" fillId="0" borderId="68" xfId="5" applyFont="1" applyBorder="1"/>
    <xf numFmtId="0" fontId="13" fillId="0" borderId="69" xfId="5" applyFont="1" applyBorder="1"/>
    <xf numFmtId="0" fontId="13" fillId="0" borderId="70" xfId="5" applyFont="1" applyBorder="1"/>
    <xf numFmtId="0" fontId="13" fillId="0" borderId="116" xfId="5" applyFont="1" applyBorder="1" applyAlignment="1">
      <alignment horizontal="center" vertical="center"/>
    </xf>
    <xf numFmtId="0" fontId="13" fillId="0" borderId="117" xfId="5" applyFont="1" applyBorder="1" applyAlignment="1">
      <alignment shrinkToFit="1"/>
    </xf>
    <xf numFmtId="0" fontId="13" fillId="0" borderId="118" xfId="5" applyFont="1" applyBorder="1" applyAlignment="1">
      <alignment shrinkToFit="1"/>
    </xf>
    <xf numFmtId="0" fontId="13" fillId="0" borderId="119" xfId="5" applyFont="1" applyBorder="1" applyAlignment="1">
      <alignment shrinkToFit="1"/>
    </xf>
    <xf numFmtId="0" fontId="13" fillId="0" borderId="120" xfId="5" applyFont="1" applyBorder="1" applyAlignment="1">
      <alignment horizontal="center" vertical="center"/>
    </xf>
    <xf numFmtId="0" fontId="13" fillId="0" borderId="67" xfId="5" applyFont="1" applyBorder="1" applyAlignment="1">
      <alignment horizontal="center" vertical="center"/>
    </xf>
    <xf numFmtId="0" fontId="13" fillId="0" borderId="121" xfId="5" applyFont="1" applyBorder="1" applyAlignment="1">
      <alignment horizontal="center" vertical="center"/>
    </xf>
    <xf numFmtId="0" fontId="13" fillId="5" borderId="39" xfId="4" applyFont="1" applyFill="1" applyBorder="1" applyAlignment="1">
      <alignment horizontal="center" vertical="center"/>
    </xf>
    <xf numFmtId="184" fontId="13" fillId="3" borderId="26" xfId="5" applyNumberFormat="1" applyFont="1" applyFill="1" applyBorder="1" applyAlignment="1">
      <alignment horizontal="center"/>
    </xf>
    <xf numFmtId="184" fontId="13" fillId="3" borderId="26" xfId="4" applyNumberFormat="1" applyFont="1" applyFill="1" applyBorder="1" applyAlignment="1">
      <alignment horizontal="center"/>
    </xf>
    <xf numFmtId="184" fontId="13" fillId="3" borderId="27" xfId="4" applyNumberFormat="1" applyFont="1" applyFill="1" applyBorder="1" applyAlignment="1">
      <alignment horizontal="center"/>
    </xf>
    <xf numFmtId="0" fontId="25" fillId="0" borderId="109" xfId="5" applyFont="1" applyBorder="1"/>
    <xf numFmtId="0" fontId="25" fillId="0" borderId="110" xfId="5" applyFont="1" applyBorder="1"/>
    <xf numFmtId="0" fontId="25" fillId="0" borderId="111" xfId="5" applyFont="1" applyBorder="1"/>
    <xf numFmtId="0" fontId="25" fillId="0" borderId="113" xfId="5" applyFont="1" applyBorder="1"/>
    <xf numFmtId="0" fontId="25" fillId="0" borderId="114" xfId="5" applyFont="1" applyBorder="1"/>
    <xf numFmtId="0" fontId="25" fillId="0" borderId="115" xfId="5" applyFont="1" applyBorder="1"/>
    <xf numFmtId="0" fontId="25" fillId="0" borderId="68" xfId="5" applyFont="1" applyBorder="1"/>
    <xf numFmtId="0" fontId="25" fillId="0" borderId="69" xfId="5" applyFont="1" applyBorder="1"/>
    <xf numFmtId="0" fontId="25" fillId="0" borderId="70" xfId="5" applyFont="1" applyBorder="1"/>
    <xf numFmtId="0" fontId="25" fillId="0" borderId="117" xfId="5" applyFont="1" applyBorder="1"/>
    <xf numFmtId="0" fontId="25" fillId="0" borderId="118" xfId="5" applyFont="1" applyBorder="1"/>
    <xf numFmtId="0" fontId="25" fillId="0" borderId="119" xfId="5" applyFont="1" applyBorder="1"/>
    <xf numFmtId="0" fontId="31" fillId="2" borderId="2" xfId="2" applyFont="1" applyFill="1" applyBorder="1" applyAlignment="1" applyProtection="1">
      <alignment horizontal="left" vertical="center" indent="1"/>
      <protection locked="0"/>
    </xf>
    <xf numFmtId="0" fontId="2" fillId="2" borderId="3" xfId="2" applyFont="1" applyFill="1" applyBorder="1" applyProtection="1">
      <protection locked="0"/>
    </xf>
    <xf numFmtId="0" fontId="2" fillId="2" borderId="3" xfId="2" applyFont="1" applyFill="1" applyBorder="1" applyAlignment="1" applyProtection="1">
      <alignment horizontal="center"/>
      <protection locked="0"/>
    </xf>
    <xf numFmtId="0" fontId="2" fillId="2" borderId="4" xfId="2" applyFont="1" applyFill="1" applyBorder="1" applyProtection="1">
      <protection locked="0"/>
    </xf>
    <xf numFmtId="0" fontId="2" fillId="0" borderId="0" xfId="2" applyFont="1" applyProtection="1">
      <protection locked="0"/>
    </xf>
    <xf numFmtId="0" fontId="5" fillId="0" borderId="0" xfId="10" applyFont="1" applyBorder="1"/>
    <xf numFmtId="0" fontId="5" fillId="0" borderId="0" xfId="10" applyFont="1" applyBorder="1" applyAlignment="1">
      <alignment horizontal="center"/>
    </xf>
    <xf numFmtId="188" fontId="5" fillId="0" borderId="0" xfId="10" applyNumberFormat="1" applyFont="1" applyBorder="1" applyAlignment="1"/>
    <xf numFmtId="0" fontId="5" fillId="0" borderId="0" xfId="10" applyFont="1" applyBorder="1" applyAlignment="1"/>
    <xf numFmtId="0" fontId="5" fillId="0" borderId="0" xfId="10" applyFont="1"/>
    <xf numFmtId="0" fontId="18" fillId="3" borderId="75" xfId="10" applyFont="1" applyFill="1" applyBorder="1" applyAlignment="1">
      <alignment horizontal="center" vertical="center"/>
    </xf>
    <xf numFmtId="0" fontId="18" fillId="3" borderId="122" xfId="10" applyFont="1" applyFill="1" applyBorder="1" applyAlignment="1">
      <alignment horizontal="center" vertical="center" textRotation="255"/>
    </xf>
    <xf numFmtId="0" fontId="18" fillId="3" borderId="122" xfId="10" applyFont="1" applyFill="1" applyBorder="1" applyAlignment="1">
      <alignment horizontal="center" vertical="center"/>
    </xf>
    <xf numFmtId="188" fontId="18" fillId="3" borderId="26" xfId="10" applyNumberFormat="1" applyFont="1" applyFill="1" applyBorder="1" applyAlignment="1">
      <alignment horizontal="center" vertical="center" wrapText="1"/>
    </xf>
    <xf numFmtId="0" fontId="18" fillId="3" borderId="26" xfId="10" applyFont="1" applyFill="1" applyBorder="1" applyAlignment="1">
      <alignment horizontal="center" vertical="center" wrapText="1" shrinkToFit="1"/>
    </xf>
    <xf numFmtId="0" fontId="18" fillId="3" borderId="122" xfId="10" applyFont="1" applyFill="1" applyBorder="1" applyAlignment="1">
      <alignment horizontal="center" vertical="center" wrapText="1"/>
    </xf>
    <xf numFmtId="0" fontId="18" fillId="3" borderId="27" xfId="10" applyFont="1" applyFill="1" applyBorder="1" applyAlignment="1">
      <alignment horizontal="center" vertical="center" wrapText="1"/>
    </xf>
    <xf numFmtId="0" fontId="18" fillId="3" borderId="100" xfId="10" applyFont="1" applyFill="1" applyBorder="1" applyAlignment="1">
      <alignment horizontal="center" vertical="center"/>
    </xf>
    <xf numFmtId="0" fontId="18" fillId="3" borderId="40" xfId="10" applyFont="1" applyFill="1" applyBorder="1" applyAlignment="1">
      <alignment horizontal="center" vertical="center" textRotation="255"/>
    </xf>
    <xf numFmtId="0" fontId="18" fillId="3" borderId="62" xfId="10" applyFont="1" applyFill="1" applyBorder="1" applyAlignment="1">
      <alignment horizontal="center" vertical="center"/>
    </xf>
    <xf numFmtId="188" fontId="18" fillId="3" borderId="62" xfId="10" applyNumberFormat="1" applyFont="1" applyFill="1" applyBorder="1" applyAlignment="1">
      <alignment horizontal="center" vertical="center" wrapText="1"/>
    </xf>
    <xf numFmtId="0" fontId="18" fillId="3" borderId="62" xfId="10" applyFont="1" applyFill="1" applyBorder="1" applyAlignment="1">
      <alignment horizontal="center" vertical="center" wrapText="1" shrinkToFit="1"/>
    </xf>
    <xf numFmtId="0" fontId="18" fillId="3" borderId="123" xfId="10" applyFont="1" applyFill="1" applyBorder="1" applyAlignment="1">
      <alignment horizontal="center" vertical="center" wrapText="1"/>
    </xf>
    <xf numFmtId="0" fontId="18" fillId="3" borderId="62" xfId="10" applyFont="1" applyFill="1" applyBorder="1" applyAlignment="1">
      <alignment horizontal="center" vertical="center" textRotation="255"/>
    </xf>
    <xf numFmtId="0" fontId="18" fillId="3" borderId="46" xfId="10" applyFont="1" applyFill="1" applyBorder="1" applyAlignment="1">
      <alignment horizontal="center" vertical="center" wrapText="1"/>
    </xf>
    <xf numFmtId="0" fontId="18" fillId="0" borderId="124" xfId="10" applyFont="1" applyBorder="1"/>
    <xf numFmtId="0" fontId="5" fillId="0" borderId="124" xfId="10" applyFont="1" applyBorder="1" applyAlignment="1">
      <alignment horizontal="center"/>
    </xf>
    <xf numFmtId="0" fontId="5" fillId="0" borderId="124" xfId="10" applyFont="1" applyBorder="1" applyAlignment="1">
      <alignment shrinkToFit="1"/>
    </xf>
    <xf numFmtId="0" fontId="5" fillId="0" borderId="124" xfId="10" applyNumberFormat="1" applyFont="1" applyBorder="1" applyAlignment="1">
      <alignment horizontal="right"/>
    </xf>
    <xf numFmtId="188" fontId="5" fillId="10" borderId="125" xfId="10" applyNumberFormat="1" applyFont="1" applyFill="1" applyBorder="1" applyAlignment="1"/>
    <xf numFmtId="0" fontId="18" fillId="0" borderId="40" xfId="10" applyFont="1" applyBorder="1"/>
    <xf numFmtId="0" fontId="5" fillId="0" borderId="40" xfId="10" applyFont="1" applyBorder="1" applyAlignment="1">
      <alignment horizontal="center"/>
    </xf>
    <xf numFmtId="0" fontId="5" fillId="0" borderId="40" xfId="10" applyFont="1" applyBorder="1" applyAlignment="1">
      <alignment shrinkToFit="1"/>
    </xf>
    <xf numFmtId="188" fontId="5" fillId="0" borderId="40" xfId="10" applyNumberFormat="1" applyFont="1" applyBorder="1" applyAlignment="1"/>
    <xf numFmtId="0" fontId="5" fillId="0" borderId="40" xfId="10" applyNumberFormat="1" applyFont="1" applyBorder="1" applyAlignment="1">
      <alignment horizontal="right"/>
    </xf>
    <xf numFmtId="188" fontId="5" fillId="10" borderId="38" xfId="10" applyNumberFormat="1" applyFont="1" applyFill="1" applyBorder="1" applyAlignment="1"/>
    <xf numFmtId="0" fontId="18" fillId="0" borderId="126" xfId="10" applyFont="1" applyBorder="1"/>
    <xf numFmtId="0" fontId="5" fillId="0" borderId="126" xfId="10" applyFont="1" applyBorder="1" applyAlignment="1">
      <alignment horizontal="center"/>
    </xf>
    <xf numFmtId="0" fontId="5" fillId="0" borderId="126" xfId="10" applyFont="1" applyBorder="1" applyAlignment="1">
      <alignment shrinkToFit="1"/>
    </xf>
    <xf numFmtId="188" fontId="5" fillId="0" borderId="126" xfId="10" applyNumberFormat="1" applyFont="1" applyBorder="1" applyAlignment="1"/>
    <xf numFmtId="0" fontId="5" fillId="0" borderId="126" xfId="10" applyNumberFormat="1" applyFont="1" applyBorder="1" applyAlignment="1">
      <alignment horizontal="right"/>
    </xf>
    <xf numFmtId="188" fontId="5" fillId="10" borderId="127" xfId="10" applyNumberFormat="1" applyFont="1" applyFill="1" applyBorder="1" applyAlignment="1"/>
    <xf numFmtId="0" fontId="5" fillId="0" borderId="128" xfId="10" applyFont="1" applyBorder="1"/>
    <xf numFmtId="0" fontId="5" fillId="0" borderId="128" xfId="10" applyFont="1" applyBorder="1" applyAlignment="1">
      <alignment horizontal="center"/>
    </xf>
    <xf numFmtId="188" fontId="5" fillId="0" borderId="128" xfId="10" applyNumberFormat="1" applyFont="1" applyBorder="1" applyAlignment="1"/>
    <xf numFmtId="188" fontId="5" fillId="10" borderId="129" xfId="10" applyNumberFormat="1" applyFont="1" applyFill="1" applyBorder="1" applyAlignment="1"/>
    <xf numFmtId="0" fontId="18" fillId="0" borderId="20" xfId="10" applyFont="1" applyBorder="1"/>
    <xf numFmtId="0" fontId="18" fillId="0" borderId="20" xfId="10" applyFont="1" applyBorder="1" applyAlignment="1">
      <alignment horizontal="center"/>
    </xf>
    <xf numFmtId="0" fontId="18" fillId="0" borderId="20" xfId="10" applyFont="1" applyFill="1" applyBorder="1" applyAlignment="1"/>
    <xf numFmtId="188" fontId="18" fillId="0" borderId="20" xfId="10" applyNumberFormat="1" applyFont="1" applyFill="1" applyBorder="1" applyAlignment="1"/>
    <xf numFmtId="0" fontId="18" fillId="0" borderId="20" xfId="10" applyNumberFormat="1" applyFont="1" applyFill="1" applyBorder="1" applyAlignment="1"/>
    <xf numFmtId="188" fontId="18" fillId="0" borderId="127" xfId="10" applyNumberFormat="1" applyFont="1" applyFill="1" applyBorder="1" applyAlignment="1"/>
    <xf numFmtId="0" fontId="5" fillId="0" borderId="40" xfId="10" applyFont="1" applyFill="1" applyBorder="1" applyAlignment="1">
      <alignment shrinkToFit="1"/>
    </xf>
    <xf numFmtId="188" fontId="5" fillId="0" borderId="40" xfId="10" applyNumberFormat="1" applyFont="1" applyFill="1" applyBorder="1" applyAlignment="1"/>
    <xf numFmtId="0" fontId="5" fillId="0" borderId="40" xfId="10" applyNumberFormat="1" applyFont="1" applyFill="1" applyBorder="1" applyAlignment="1">
      <alignment horizontal="right"/>
    </xf>
    <xf numFmtId="188" fontId="5" fillId="0" borderId="38" xfId="10" applyNumberFormat="1" applyFont="1" applyFill="1" applyBorder="1" applyAlignment="1"/>
    <xf numFmtId="0" fontId="5" fillId="0" borderId="126" xfId="10" applyFont="1" applyFill="1" applyBorder="1" applyAlignment="1">
      <alignment shrinkToFit="1"/>
    </xf>
    <xf numFmtId="188" fontId="5" fillId="0" borderId="126" xfId="10" applyNumberFormat="1" applyFont="1" applyFill="1" applyBorder="1" applyAlignment="1"/>
    <xf numFmtId="0" fontId="5" fillId="0" borderId="126" xfId="10" applyNumberFormat="1" applyFont="1" applyFill="1" applyBorder="1" applyAlignment="1">
      <alignment horizontal="right"/>
    </xf>
    <xf numFmtId="188" fontId="5" fillId="0" borderId="127" xfId="10" applyNumberFormat="1" applyFont="1" applyFill="1" applyBorder="1" applyAlignment="1"/>
    <xf numFmtId="0" fontId="5" fillId="0" borderId="128" xfId="10" applyFont="1" applyFill="1" applyBorder="1" applyAlignment="1"/>
    <xf numFmtId="188" fontId="5" fillId="0" borderId="128" xfId="10" applyNumberFormat="1" applyFont="1" applyFill="1" applyBorder="1" applyAlignment="1"/>
    <xf numFmtId="188" fontId="5" fillId="0" borderId="129" xfId="10" applyNumberFormat="1" applyFont="1" applyFill="1" applyBorder="1" applyAlignment="1"/>
    <xf numFmtId="0" fontId="18" fillId="0" borderId="81" xfId="10" applyFont="1" applyBorder="1"/>
    <xf numFmtId="0" fontId="18" fillId="0" borderId="81" xfId="10" applyFont="1" applyBorder="1" applyAlignment="1">
      <alignment horizontal="center"/>
    </xf>
    <xf numFmtId="0" fontId="18" fillId="0" borderId="81" xfId="10" applyFont="1" applyFill="1" applyBorder="1" applyAlignment="1"/>
    <xf numFmtId="188" fontId="18" fillId="0" borderId="81" xfId="10" applyNumberFormat="1" applyFont="1" applyFill="1" applyBorder="1" applyAlignment="1"/>
    <xf numFmtId="0" fontId="18" fillId="0" borderId="81" xfId="10" applyNumberFormat="1" applyFont="1" applyFill="1" applyBorder="1" applyAlignment="1"/>
    <xf numFmtId="188" fontId="18" fillId="0" borderId="130" xfId="10" applyNumberFormat="1" applyFont="1" applyFill="1" applyBorder="1" applyAlignment="1"/>
    <xf numFmtId="0" fontId="5" fillId="0" borderId="0" xfId="10" applyFont="1" applyAlignment="1">
      <alignment horizontal="center"/>
    </xf>
    <xf numFmtId="188" fontId="5" fillId="0" borderId="0" xfId="10" applyNumberFormat="1" applyFont="1" applyAlignment="1"/>
    <xf numFmtId="0" fontId="5" fillId="0" borderId="0" xfId="10" applyFont="1" applyAlignment="1"/>
    <xf numFmtId="0" fontId="18" fillId="11" borderId="0" xfId="10" applyFont="1" applyFill="1"/>
    <xf numFmtId="188" fontId="5" fillId="0" borderId="124" xfId="10" applyNumberFormat="1" applyFont="1" applyBorder="1" applyAlignment="1">
      <alignment horizontal="center"/>
    </xf>
    <xf numFmtId="188" fontId="5" fillId="0" borderId="40" xfId="10" applyNumberFormat="1" applyFont="1" applyBorder="1" applyAlignment="1">
      <alignment horizontal="center"/>
    </xf>
    <xf numFmtId="0" fontId="5" fillId="0" borderId="40" xfId="10" applyNumberFormat="1" applyFont="1" applyBorder="1" applyAlignment="1">
      <alignment horizontal="center"/>
    </xf>
    <xf numFmtId="0" fontId="5" fillId="0" borderId="131" xfId="10" applyFont="1" applyFill="1" applyBorder="1" applyAlignment="1">
      <alignment vertical="top" wrapText="1" shrinkToFit="1"/>
    </xf>
    <xf numFmtId="0" fontId="0" fillId="0" borderId="62" xfId="0" applyBorder="1" applyAlignment="1">
      <alignment vertical="top" wrapText="1" shrinkToFit="1"/>
    </xf>
    <xf numFmtId="188" fontId="5" fillId="0" borderId="40" xfId="10" applyNumberFormat="1" applyFont="1" applyFill="1" applyBorder="1" applyAlignment="1">
      <alignment horizontal="center"/>
    </xf>
    <xf numFmtId="0" fontId="5" fillId="0" borderId="40" xfId="10" applyNumberFormat="1" applyFont="1" applyFill="1" applyBorder="1" applyAlignment="1">
      <alignment horizontal="center"/>
    </xf>
    <xf numFmtId="0" fontId="32" fillId="2" borderId="21" xfId="2" applyFont="1" applyFill="1" applyBorder="1" applyAlignment="1" applyProtection="1">
      <alignment horizontal="left" vertical="center" indent="1"/>
      <protection locked="0"/>
    </xf>
    <xf numFmtId="0" fontId="33" fillId="2" borderId="22" xfId="2" applyFont="1" applyFill="1" applyBorder="1" applyAlignment="1" applyProtection="1">
      <alignment horizontal="left" vertical="center" indent="1"/>
      <protection locked="0"/>
    </xf>
    <xf numFmtId="0" fontId="33" fillId="2" borderId="22" xfId="2" applyFont="1" applyFill="1" applyBorder="1" applyAlignment="1" applyProtection="1">
      <alignment horizontal="left" vertical="center" indent="1"/>
      <protection locked="0"/>
    </xf>
    <xf numFmtId="0" fontId="33" fillId="2" borderId="22" xfId="2" applyFont="1" applyFill="1" applyBorder="1" applyAlignment="1" applyProtection="1">
      <alignment horizontal="right" vertical="center" indent="1"/>
      <protection locked="0"/>
    </xf>
    <xf numFmtId="0" fontId="33" fillId="2" borderId="23" xfId="2" applyFont="1" applyFill="1" applyBorder="1" applyAlignment="1" applyProtection="1">
      <alignment horizontal="left" vertical="center" indent="1"/>
      <protection locked="0"/>
    </xf>
    <xf numFmtId="0" fontId="33" fillId="0" borderId="132" xfId="2" applyFont="1" applyFill="1" applyBorder="1" applyAlignment="1" applyProtection="1">
      <alignment horizontal="left" vertical="center" indent="1"/>
      <protection locked="0"/>
    </xf>
    <xf numFmtId="0" fontId="33" fillId="0" borderId="133" xfId="2" applyFont="1" applyFill="1" applyBorder="1" applyAlignment="1" applyProtection="1">
      <alignment horizontal="left" vertical="center" indent="1"/>
      <protection locked="0"/>
    </xf>
    <xf numFmtId="0" fontId="33" fillId="0" borderId="0" xfId="2" applyFont="1" applyFill="1" applyBorder="1" applyAlignment="1" applyProtection="1">
      <alignment horizontal="left" vertical="center" indent="1"/>
      <protection locked="0"/>
    </xf>
    <xf numFmtId="0" fontId="33" fillId="0" borderId="0" xfId="2" applyNumberFormat="1" applyFont="1" applyFill="1" applyBorder="1" applyAlignment="1" applyProtection="1">
      <alignment horizontal="left" vertical="center" indent="1"/>
      <protection locked="0"/>
    </xf>
    <xf numFmtId="176" fontId="18" fillId="0" borderId="0" xfId="2" applyNumberFormat="1" applyFont="1" applyFill="1" applyAlignment="1" applyProtection="1">
      <alignment horizontal="left" vertical="center" indent="1"/>
      <protection locked="0"/>
    </xf>
    <xf numFmtId="0" fontId="33" fillId="0" borderId="0" xfId="2" applyFont="1" applyFill="1" applyAlignment="1" applyProtection="1">
      <alignment horizontal="left" vertical="center" indent="1"/>
      <protection locked="0"/>
    </xf>
    <xf numFmtId="0" fontId="33" fillId="0" borderId="0" xfId="2" applyFont="1" applyAlignment="1" applyProtection="1">
      <alignment horizontal="left" vertical="center" indent="1"/>
      <protection locked="0"/>
    </xf>
    <xf numFmtId="0" fontId="5" fillId="0" borderId="0" xfId="2" applyFont="1" applyFill="1" applyBorder="1" applyProtection="1">
      <protection locked="0"/>
    </xf>
    <xf numFmtId="0" fontId="5" fillId="0" borderId="0" xfId="2" applyFont="1" applyFill="1" applyProtection="1">
      <protection locked="0"/>
    </xf>
    <xf numFmtId="0" fontId="5" fillId="0" borderId="34" xfId="2" applyFont="1" applyFill="1" applyBorder="1" applyProtection="1">
      <protection locked="0"/>
    </xf>
    <xf numFmtId="0" fontId="5" fillId="0" borderId="133" xfId="2" applyFont="1" applyFill="1" applyBorder="1" applyProtection="1">
      <protection locked="0"/>
    </xf>
    <xf numFmtId="0" fontId="5" fillId="0" borderId="0" xfId="2" applyFont="1" applyFill="1" applyAlignment="1" applyProtection="1">
      <alignment vertical="center"/>
      <protection locked="0"/>
    </xf>
    <xf numFmtId="0" fontId="5" fillId="0" borderId="0" xfId="2" applyFont="1" applyFill="1" applyBorder="1" applyAlignment="1" applyProtection="1">
      <alignment vertical="center"/>
      <protection locked="0"/>
    </xf>
    <xf numFmtId="0" fontId="5" fillId="0" borderId="0" xfId="2" applyFont="1" applyProtection="1">
      <protection locked="0"/>
    </xf>
    <xf numFmtId="0" fontId="5" fillId="12" borderId="134" xfId="2" applyFont="1" applyFill="1" applyBorder="1" applyAlignment="1" applyProtection="1">
      <alignment horizontal="center" vertical="center"/>
    </xf>
    <xf numFmtId="0" fontId="5" fillId="12" borderId="135" xfId="2" applyNumberFormat="1" applyFont="1" applyFill="1" applyBorder="1" applyAlignment="1" applyProtection="1">
      <alignment horizontal="center" vertical="center" shrinkToFit="1"/>
    </xf>
    <xf numFmtId="0" fontId="5" fillId="12" borderId="136" xfId="2" applyFont="1" applyFill="1" applyBorder="1" applyAlignment="1" applyProtection="1">
      <alignment horizontal="center" vertical="center"/>
    </xf>
    <xf numFmtId="189" fontId="5" fillId="12" borderId="34" xfId="2" applyNumberFormat="1" applyFont="1" applyFill="1" applyBorder="1" applyAlignment="1" applyProtection="1">
      <alignment horizontal="left" vertical="center" indent="1" shrinkToFit="1"/>
    </xf>
    <xf numFmtId="189" fontId="5" fillId="12" borderId="137" xfId="2" applyNumberFormat="1" applyFont="1" applyFill="1" applyBorder="1" applyAlignment="1" applyProtection="1">
      <alignment horizontal="left" vertical="center" indent="1" shrinkToFit="1"/>
    </xf>
    <xf numFmtId="0" fontId="5" fillId="12" borderId="138" xfId="2" applyFont="1" applyFill="1" applyBorder="1" applyAlignment="1" applyProtection="1">
      <alignment horizontal="center" vertical="center" wrapText="1"/>
    </xf>
    <xf numFmtId="0" fontId="5" fillId="12" borderId="137" xfId="2" applyFont="1" applyFill="1" applyBorder="1" applyAlignment="1" applyProtection="1">
      <alignment horizontal="center" vertical="center" wrapText="1"/>
    </xf>
    <xf numFmtId="0" fontId="5" fillId="12" borderId="139" xfId="2" applyFont="1" applyFill="1" applyBorder="1" applyAlignment="1" applyProtection="1">
      <alignment horizontal="center" vertical="center"/>
    </xf>
    <xf numFmtId="0" fontId="5" fillId="12" borderId="140" xfId="2" applyFont="1" applyFill="1" applyBorder="1" applyAlignment="1" applyProtection="1">
      <alignment horizontal="center" vertical="center"/>
    </xf>
    <xf numFmtId="0" fontId="5" fillId="12" borderId="141" xfId="2" applyFont="1" applyFill="1" applyBorder="1" applyAlignment="1" applyProtection="1">
      <alignment horizontal="center" vertical="center"/>
    </xf>
    <xf numFmtId="0" fontId="5" fillId="12" borderId="142" xfId="2" applyFont="1" applyFill="1" applyBorder="1" applyAlignment="1" applyProtection="1">
      <alignment horizontal="center" vertical="center"/>
    </xf>
    <xf numFmtId="0" fontId="5" fillId="12" borderId="84" xfId="2" applyFont="1" applyFill="1" applyBorder="1" applyAlignment="1" applyProtection="1">
      <alignment horizontal="center" vertical="center"/>
    </xf>
    <xf numFmtId="0" fontId="5" fillId="12" borderId="85" xfId="2" applyFont="1" applyFill="1" applyBorder="1" applyAlignment="1" applyProtection="1">
      <alignment horizontal="center" vertical="center"/>
    </xf>
    <xf numFmtId="0" fontId="5" fillId="0" borderId="0" xfId="2" applyFont="1" applyFill="1" applyBorder="1" applyAlignment="1" applyProtection="1">
      <alignment horizontal="center"/>
    </xf>
    <xf numFmtId="189" fontId="5" fillId="12" borderId="34" xfId="2" applyNumberFormat="1" applyFont="1" applyFill="1" applyBorder="1" applyAlignment="1" applyProtection="1">
      <alignment vertical="center" shrinkToFit="1"/>
    </xf>
    <xf numFmtId="189" fontId="5" fillId="12" borderId="137" xfId="2" applyNumberFormat="1" applyFont="1" applyFill="1" applyBorder="1" applyAlignment="1" applyProtection="1">
      <alignment vertical="center" shrinkToFit="1"/>
    </xf>
    <xf numFmtId="0" fontId="5" fillId="0" borderId="0" xfId="2" applyFont="1" applyFill="1" applyBorder="1" applyAlignment="1" applyProtection="1">
      <alignment vertical="center"/>
    </xf>
    <xf numFmtId="177" fontId="18" fillId="7" borderId="21" xfId="2" applyNumberFormat="1" applyFont="1" applyFill="1" applyBorder="1" applyAlignment="1" applyProtection="1">
      <alignment horizontal="center" vertical="center"/>
    </xf>
    <xf numFmtId="177" fontId="18" fillId="7" borderId="22" xfId="2" applyNumberFormat="1" applyFont="1" applyFill="1" applyBorder="1" applyAlignment="1" applyProtection="1">
      <alignment horizontal="center" vertical="center"/>
    </xf>
    <xf numFmtId="177" fontId="18" fillId="7" borderId="23" xfId="2" applyNumberFormat="1" applyFont="1" applyFill="1" applyBorder="1" applyAlignment="1" applyProtection="1">
      <alignment horizontal="center" vertical="center"/>
    </xf>
    <xf numFmtId="177" fontId="5" fillId="0" borderId="0" xfId="2" applyNumberFormat="1" applyFont="1" applyFill="1" applyBorder="1" applyAlignment="1" applyProtection="1">
      <alignment vertical="center"/>
    </xf>
    <xf numFmtId="0" fontId="5" fillId="0" borderId="0" xfId="2" applyFont="1" applyFill="1" applyBorder="1" applyAlignment="1" applyProtection="1">
      <alignment horizontal="center" shrinkToFit="1"/>
      <protection locked="0"/>
    </xf>
    <xf numFmtId="0" fontId="5" fillId="0" borderId="0" xfId="2" applyFont="1" applyFill="1" applyAlignment="1" applyProtection="1">
      <alignment horizontal="left"/>
      <protection locked="0"/>
    </xf>
    <xf numFmtId="0" fontId="5" fillId="0" borderId="0" xfId="11" applyFont="1" applyFill="1" applyBorder="1" applyAlignment="1">
      <alignment horizontal="left"/>
    </xf>
    <xf numFmtId="0" fontId="5" fillId="12" borderId="143" xfId="2" applyFont="1" applyFill="1" applyBorder="1" applyAlignment="1" applyProtection="1">
      <alignment horizontal="center" vertical="center"/>
    </xf>
    <xf numFmtId="0" fontId="5" fillId="12" borderId="144" xfId="2" applyNumberFormat="1" applyFont="1" applyFill="1" applyBorder="1" applyAlignment="1" applyProtection="1">
      <alignment horizontal="center" vertical="center" shrinkToFit="1"/>
    </xf>
    <xf numFmtId="0" fontId="5" fillId="12" borderId="145" xfId="2" applyFont="1" applyFill="1" applyBorder="1" applyAlignment="1" applyProtection="1">
      <alignment horizontal="center" vertical="center"/>
    </xf>
    <xf numFmtId="189" fontId="5" fillId="12" borderId="20" xfId="2" applyNumberFormat="1" applyFont="1" applyFill="1" applyBorder="1" applyAlignment="1" applyProtection="1">
      <alignment horizontal="left" vertical="center" indent="1" shrinkToFit="1"/>
    </xf>
    <xf numFmtId="189" fontId="5" fillId="12" borderId="146" xfId="2" applyNumberFormat="1" applyFont="1" applyFill="1" applyBorder="1" applyAlignment="1" applyProtection="1">
      <alignment horizontal="left" vertical="center" indent="1" shrinkToFit="1"/>
    </xf>
    <xf numFmtId="0" fontId="5" fillId="12" borderId="147" xfId="2" applyFont="1" applyFill="1" applyBorder="1" applyAlignment="1" applyProtection="1">
      <alignment horizontal="center" vertical="center" wrapText="1"/>
    </xf>
    <xf numFmtId="0" fontId="5" fillId="12" borderId="148" xfId="2" applyFont="1" applyFill="1" applyBorder="1" applyAlignment="1" applyProtection="1">
      <alignment horizontal="center" vertical="center" wrapText="1"/>
    </xf>
    <xf numFmtId="0" fontId="5" fillId="12" borderId="149" xfId="2" applyFont="1" applyFill="1" applyBorder="1" applyAlignment="1" applyProtection="1">
      <alignment horizontal="center" vertical="center"/>
    </xf>
    <xf numFmtId="0" fontId="5" fillId="12" borderId="150" xfId="2" applyFont="1" applyFill="1" applyBorder="1" applyAlignment="1" applyProtection="1">
      <alignment horizontal="center" vertical="center"/>
    </xf>
    <xf numFmtId="0" fontId="5" fillId="12" borderId="151" xfId="2" applyFont="1" applyFill="1" applyBorder="1" applyAlignment="1" applyProtection="1">
      <alignment horizontal="center" vertical="center"/>
    </xf>
    <xf numFmtId="0" fontId="5" fillId="12" borderId="152" xfId="2" applyFont="1" applyFill="1" applyBorder="1" applyAlignment="1" applyProtection="1">
      <alignment horizontal="center" vertical="center"/>
    </xf>
    <xf numFmtId="0" fontId="5" fillId="12" borderId="153" xfId="2" applyFont="1" applyFill="1" applyBorder="1" applyAlignment="1" applyProtection="1">
      <alignment horizontal="center" vertical="center"/>
    </xf>
    <xf numFmtId="0" fontId="5" fillId="12" borderId="154" xfId="2" applyFont="1" applyFill="1" applyBorder="1" applyAlignment="1" applyProtection="1">
      <alignment horizontal="center" vertical="center"/>
    </xf>
    <xf numFmtId="0" fontId="5" fillId="12" borderId="155" xfId="2" applyFont="1" applyFill="1" applyBorder="1" applyAlignment="1" applyProtection="1">
      <alignment horizontal="center" vertical="center"/>
    </xf>
    <xf numFmtId="189" fontId="5" fillId="12" borderId="156" xfId="2" applyNumberFormat="1" applyFont="1" applyFill="1" applyBorder="1" applyAlignment="1" applyProtection="1">
      <alignment horizontal="center" vertical="center" shrinkToFit="1"/>
    </xf>
    <xf numFmtId="189" fontId="5" fillId="12" borderId="0" xfId="2" applyNumberFormat="1" applyFont="1" applyFill="1" applyBorder="1" applyAlignment="1" applyProtection="1">
      <alignment horizontal="center" vertical="center" shrinkToFit="1"/>
    </xf>
    <xf numFmtId="189" fontId="5" fillId="12" borderId="38" xfId="2" applyNumberFormat="1" applyFont="1" applyFill="1" applyBorder="1" applyAlignment="1" applyProtection="1">
      <alignment horizontal="center" vertical="center" shrinkToFit="1"/>
    </xf>
    <xf numFmtId="189" fontId="5" fillId="12" borderId="20" xfId="2" applyNumberFormat="1" applyFont="1" applyFill="1" applyBorder="1" applyAlignment="1" applyProtection="1">
      <alignment vertical="center" shrinkToFit="1"/>
    </xf>
    <xf numFmtId="189" fontId="5" fillId="12" borderId="146" xfId="2" applyNumberFormat="1" applyFont="1" applyFill="1" applyBorder="1" applyAlignment="1" applyProtection="1">
      <alignment vertical="center" shrinkToFit="1"/>
    </xf>
    <xf numFmtId="177" fontId="18" fillId="0" borderId="0" xfId="2" applyNumberFormat="1" applyFont="1" applyFill="1" applyBorder="1" applyAlignment="1" applyProtection="1">
      <alignment horizontal="center" vertical="center"/>
    </xf>
    <xf numFmtId="0" fontId="5" fillId="0" borderId="0" xfId="2" applyFont="1" applyFill="1" applyBorder="1" applyAlignment="1" applyProtection="1">
      <alignment horizontal="left"/>
      <protection locked="0"/>
    </xf>
    <xf numFmtId="0" fontId="5" fillId="12" borderId="158" xfId="2" applyFont="1" applyFill="1" applyBorder="1" applyAlignment="1" applyProtection="1">
      <alignment horizontal="center" vertical="center"/>
    </xf>
    <xf numFmtId="0" fontId="5" fillId="12" borderId="159" xfId="2" applyNumberFormat="1" applyFont="1" applyFill="1" applyBorder="1" applyAlignment="1" applyProtection="1">
      <alignment horizontal="center" vertical="center"/>
    </xf>
    <xf numFmtId="0" fontId="5" fillId="12" borderId="160" xfId="2" applyFont="1" applyFill="1" applyBorder="1" applyAlignment="1" applyProtection="1">
      <alignment horizontal="center" vertical="center"/>
    </xf>
    <xf numFmtId="190" fontId="5" fillId="12" borderId="159" xfId="2" applyNumberFormat="1" applyFont="1" applyFill="1" applyBorder="1" applyAlignment="1" applyProtection="1">
      <alignment vertical="center"/>
    </xf>
    <xf numFmtId="0" fontId="5" fillId="12" borderId="161" xfId="2" applyFont="1" applyFill="1" applyBorder="1" applyAlignment="1" applyProtection="1">
      <alignment horizontal="center" vertical="center"/>
    </xf>
    <xf numFmtId="191" fontId="5" fillId="12" borderId="159" xfId="2" applyNumberFormat="1" applyFont="1" applyFill="1" applyBorder="1" applyAlignment="1" applyProtection="1">
      <alignment vertical="center"/>
      <protection locked="0"/>
    </xf>
    <xf numFmtId="0" fontId="5" fillId="12" borderId="162" xfId="2" applyFont="1" applyFill="1" applyBorder="1" applyAlignment="1" applyProtection="1">
      <alignment horizontal="center" vertical="center" shrinkToFit="1"/>
    </xf>
    <xf numFmtId="0" fontId="5" fillId="12" borderId="163" xfId="2" applyFont="1" applyFill="1" applyBorder="1" applyAlignment="1" applyProtection="1">
      <alignment horizontal="center" vertical="center" shrinkToFit="1"/>
    </xf>
    <xf numFmtId="192" fontId="5" fillId="12" borderId="164" xfId="2" applyNumberFormat="1" applyFont="1" applyFill="1" applyBorder="1" applyAlignment="1" applyProtection="1">
      <alignment vertical="center"/>
      <protection locked="0"/>
    </xf>
    <xf numFmtId="192" fontId="5" fillId="12" borderId="159" xfId="2" applyNumberFormat="1" applyFont="1" applyFill="1" applyBorder="1" applyAlignment="1" applyProtection="1">
      <alignment vertical="center"/>
      <protection locked="0"/>
    </xf>
    <xf numFmtId="193" fontId="5" fillId="12" borderId="165" xfId="2" applyNumberFormat="1" applyFont="1" applyFill="1" applyBorder="1" applyAlignment="1" applyProtection="1">
      <alignment vertical="center" shrinkToFit="1"/>
      <protection locked="0"/>
    </xf>
    <xf numFmtId="193" fontId="5" fillId="12" borderId="159" xfId="2" applyNumberFormat="1" applyFont="1" applyFill="1" applyBorder="1" applyAlignment="1" applyProtection="1">
      <alignment vertical="center" shrinkToFit="1"/>
      <protection locked="0"/>
    </xf>
    <xf numFmtId="194" fontId="5" fillId="12" borderId="166" xfId="2" applyNumberFormat="1" applyFont="1" applyFill="1" applyBorder="1" applyAlignment="1" applyProtection="1">
      <alignment horizontal="center" vertical="center" shrinkToFit="1"/>
      <protection locked="0"/>
    </xf>
    <xf numFmtId="195" fontId="5" fillId="12" borderId="166" xfId="2" applyNumberFormat="1" applyFont="1" applyFill="1" applyBorder="1" applyAlignment="1" applyProtection="1">
      <alignment horizontal="center" vertical="center" shrinkToFit="1"/>
      <protection locked="0"/>
    </xf>
    <xf numFmtId="196" fontId="5" fillId="12" borderId="45" xfId="2" applyNumberFormat="1" applyFont="1" applyFill="1" applyBorder="1" applyAlignment="1" applyProtection="1">
      <alignment horizontal="center" vertical="center" shrinkToFit="1"/>
      <protection locked="0"/>
    </xf>
    <xf numFmtId="197" fontId="5" fillId="12" borderId="159" xfId="2" applyNumberFormat="1" applyFont="1" applyFill="1" applyBorder="1" applyAlignment="1" applyProtection="1">
      <alignment horizontal="center" vertical="center" shrinkToFit="1"/>
      <protection locked="0"/>
    </xf>
    <xf numFmtId="189" fontId="5" fillId="12" borderId="165" xfId="2" applyNumberFormat="1" applyFont="1" applyFill="1" applyBorder="1" applyAlignment="1" applyProtection="1">
      <alignment horizontal="center" vertical="center" shrinkToFit="1"/>
    </xf>
    <xf numFmtId="189" fontId="5" fillId="12" borderId="56" xfId="2" applyNumberFormat="1" applyFont="1" applyFill="1" applyBorder="1" applyAlignment="1" applyProtection="1">
      <alignment horizontal="center" vertical="center" shrinkToFit="1"/>
    </xf>
    <xf numFmtId="189" fontId="5" fillId="12" borderId="57" xfId="2" applyNumberFormat="1" applyFont="1" applyFill="1" applyBorder="1" applyAlignment="1" applyProtection="1">
      <alignment horizontal="center" vertical="center" shrinkToFit="1"/>
    </xf>
    <xf numFmtId="198" fontId="5" fillId="0" borderId="0" xfId="2" applyNumberFormat="1" applyFont="1" applyFill="1" applyBorder="1" applyAlignment="1" applyProtection="1">
      <alignment horizontal="center" shrinkToFit="1"/>
      <protection locked="0"/>
    </xf>
    <xf numFmtId="0" fontId="5" fillId="0" borderId="0" xfId="2" applyFont="1" applyFill="1" applyBorder="1" applyAlignment="1" applyProtection="1">
      <alignment vertical="center" shrinkToFit="1"/>
      <protection locked="0"/>
    </xf>
    <xf numFmtId="0" fontId="5" fillId="0" borderId="0" xfId="2" applyFont="1" applyFill="1" applyBorder="1" applyAlignment="1" applyProtection="1">
      <alignment vertical="center" shrinkToFit="1"/>
    </xf>
    <xf numFmtId="199" fontId="5" fillId="0" borderId="0" xfId="2" applyNumberFormat="1" applyFont="1" applyFill="1" applyBorder="1" applyAlignment="1" applyProtection="1">
      <alignment vertical="center"/>
    </xf>
    <xf numFmtId="177" fontId="5" fillId="0" borderId="133" xfId="2" applyNumberFormat="1" applyFont="1" applyFill="1" applyBorder="1" applyAlignment="1" applyProtection="1">
      <alignment horizontal="center"/>
    </xf>
    <xf numFmtId="0" fontId="5" fillId="0" borderId="0" xfId="2" applyFont="1" applyFill="1" applyBorder="1" applyAlignment="1" applyProtection="1">
      <alignment horizontal="left" indent="1"/>
    </xf>
    <xf numFmtId="0" fontId="5" fillId="0" borderId="0" xfId="2" applyFont="1" applyFill="1" applyBorder="1" applyProtection="1"/>
    <xf numFmtId="0" fontId="5" fillId="0" borderId="167" xfId="2" applyFont="1" applyFill="1" applyBorder="1" applyAlignment="1" applyProtection="1">
      <alignment horizontal="right" shrinkToFit="1"/>
    </xf>
    <xf numFmtId="200" fontId="5" fillId="0" borderId="167" xfId="2" applyNumberFormat="1" applyFont="1" applyFill="1" applyBorder="1" applyAlignment="1" applyProtection="1">
      <alignment horizontal="left"/>
    </xf>
    <xf numFmtId="199" fontId="5" fillId="0" borderId="0" xfId="2" applyNumberFormat="1" applyFont="1" applyFill="1" applyBorder="1" applyAlignment="1" applyProtection="1">
      <alignment horizontal="left"/>
    </xf>
    <xf numFmtId="177" fontId="5" fillId="0" borderId="0" xfId="2" applyNumberFormat="1" applyFont="1" applyFill="1" applyBorder="1" applyProtection="1"/>
    <xf numFmtId="0" fontId="5" fillId="0" borderId="0" xfId="2" applyFont="1" applyFill="1" applyBorder="1" applyAlignment="1" applyProtection="1">
      <alignment horizontal="right"/>
    </xf>
    <xf numFmtId="200" fontId="5" fillId="0" borderId="0" xfId="2" applyNumberFormat="1" applyFont="1" applyFill="1" applyBorder="1" applyAlignment="1" applyProtection="1">
      <alignment horizontal="left"/>
    </xf>
    <xf numFmtId="3" fontId="5" fillId="0" borderId="0" xfId="12" applyNumberFormat="1" applyFont="1" applyFill="1" applyBorder="1" applyProtection="1"/>
    <xf numFmtId="177" fontId="5" fillId="0" borderId="0" xfId="2" applyNumberFormat="1" applyFont="1" applyFill="1" applyBorder="1" applyAlignment="1" applyProtection="1">
      <alignment horizontal="right"/>
    </xf>
    <xf numFmtId="201" fontId="5" fillId="0" borderId="0" xfId="12" applyNumberFormat="1" applyFont="1" applyFill="1" applyBorder="1" applyAlignment="1" applyProtection="1">
      <alignment horizontal="left"/>
    </xf>
    <xf numFmtId="199" fontId="5" fillId="0" borderId="0" xfId="2" applyNumberFormat="1" applyFont="1" applyFill="1" applyBorder="1" applyAlignment="1" applyProtection="1">
      <alignment horizontal="left"/>
    </xf>
    <xf numFmtId="199" fontId="5" fillId="0" borderId="0" xfId="2" applyNumberFormat="1" applyFont="1" applyFill="1" applyBorder="1" applyAlignment="1" applyProtection="1">
      <alignment horizontal="right"/>
    </xf>
    <xf numFmtId="0" fontId="5" fillId="0" borderId="168" xfId="2" applyFont="1" applyFill="1" applyBorder="1" applyAlignment="1" applyProtection="1">
      <alignment horizontal="right"/>
    </xf>
    <xf numFmtId="0" fontId="13" fillId="5" borderId="21" xfId="4" applyFont="1" applyFill="1" applyBorder="1" applyAlignment="1">
      <alignment horizontal="center" vertical="center"/>
    </xf>
    <xf numFmtId="0" fontId="5" fillId="0" borderId="133" xfId="2" applyFont="1" applyFill="1" applyBorder="1" applyAlignment="1" applyProtection="1">
      <alignment horizontal="right"/>
    </xf>
    <xf numFmtId="0" fontId="13" fillId="6" borderId="21" xfId="4" applyFont="1" applyFill="1" applyBorder="1" applyAlignment="1">
      <alignment horizontal="center" vertical="center"/>
    </xf>
    <xf numFmtId="202" fontId="5" fillId="0" borderId="0" xfId="2" applyNumberFormat="1" applyFont="1" applyFill="1" applyBorder="1" applyAlignment="1" applyProtection="1">
      <alignment vertical="center"/>
    </xf>
    <xf numFmtId="199" fontId="5" fillId="0" borderId="0" xfId="2" applyNumberFormat="1" applyFont="1" applyFill="1" applyBorder="1" applyAlignment="1" applyProtection="1">
      <alignment vertical="center"/>
    </xf>
    <xf numFmtId="203" fontId="5" fillId="0" borderId="0" xfId="2" applyNumberFormat="1" applyFont="1" applyFill="1" applyBorder="1" applyAlignment="1" applyProtection="1">
      <alignment horizontal="left" vertical="center"/>
    </xf>
    <xf numFmtId="202" fontId="5" fillId="0" borderId="0" xfId="2" applyNumberFormat="1" applyFont="1" applyFill="1" applyBorder="1" applyAlignment="1" applyProtection="1">
      <alignment vertical="center"/>
      <protection locked="0"/>
    </xf>
    <xf numFmtId="202" fontId="5" fillId="0" borderId="133" xfId="2" applyNumberFormat="1" applyFont="1" applyFill="1" applyBorder="1" applyAlignment="1" applyProtection="1"/>
    <xf numFmtId="0" fontId="14" fillId="3" borderId="169" xfId="2" applyFont="1" applyFill="1" applyBorder="1" applyAlignment="1" applyProtection="1">
      <alignment horizontal="left" vertical="center" wrapText="1" indent="1"/>
      <protection locked="0"/>
    </xf>
    <xf numFmtId="0" fontId="14" fillId="3" borderId="170" xfId="2" applyFont="1" applyFill="1" applyBorder="1" applyAlignment="1" applyProtection="1">
      <alignment horizontal="left" vertical="center" wrapText="1" indent="1"/>
      <protection locked="0"/>
    </xf>
    <xf numFmtId="0" fontId="14" fillId="3" borderId="171" xfId="2" applyFont="1" applyFill="1" applyBorder="1" applyAlignment="1" applyProtection="1">
      <alignment horizontal="left" vertical="center" wrapText="1" indent="1"/>
      <protection locked="0"/>
    </xf>
    <xf numFmtId="177" fontId="5" fillId="3" borderId="172" xfId="2" applyNumberFormat="1" applyFont="1" applyFill="1" applyBorder="1" applyAlignment="1" applyProtection="1">
      <alignment horizontal="center" vertical="center"/>
    </xf>
    <xf numFmtId="177" fontId="5" fillId="3" borderId="173" xfId="2" applyNumberFormat="1" applyFont="1" applyFill="1" applyBorder="1" applyAlignment="1" applyProtection="1">
      <alignment horizontal="center" vertical="center"/>
    </xf>
    <xf numFmtId="177" fontId="5" fillId="3" borderId="174" xfId="2" applyNumberFormat="1" applyFont="1" applyFill="1" applyBorder="1" applyAlignment="1" applyProtection="1">
      <alignment horizontal="center" vertical="center"/>
    </xf>
    <xf numFmtId="177" fontId="5" fillId="3" borderId="172" xfId="2" applyNumberFormat="1" applyFont="1" applyFill="1" applyBorder="1" applyAlignment="1" applyProtection="1">
      <alignment horizontal="centerContinuous" vertical="center"/>
    </xf>
    <xf numFmtId="177" fontId="5" fillId="3" borderId="173" xfId="2" applyNumberFormat="1" applyFont="1" applyFill="1" applyBorder="1" applyAlignment="1" applyProtection="1">
      <alignment horizontal="centerContinuous" vertical="center"/>
    </xf>
    <xf numFmtId="177" fontId="5" fillId="3" borderId="175" xfId="2" applyNumberFormat="1" applyFont="1" applyFill="1" applyBorder="1" applyAlignment="1" applyProtection="1">
      <alignment horizontal="center" vertical="center"/>
    </xf>
    <xf numFmtId="177" fontId="5" fillId="3" borderId="170" xfId="2" applyNumberFormat="1" applyFont="1" applyFill="1" applyBorder="1" applyAlignment="1" applyProtection="1">
      <alignment horizontal="center" vertical="center"/>
    </xf>
    <xf numFmtId="177" fontId="5" fillId="3" borderId="176" xfId="2" applyNumberFormat="1" applyFont="1" applyFill="1" applyBorder="1" applyAlignment="1" applyProtection="1">
      <alignment horizontal="center" vertical="center"/>
    </xf>
    <xf numFmtId="204" fontId="5" fillId="0" borderId="0" xfId="2" applyNumberFormat="1" applyFont="1" applyFill="1" applyBorder="1" applyAlignment="1" applyProtection="1">
      <alignment horizontal="right" shrinkToFit="1"/>
    </xf>
    <xf numFmtId="0" fontId="5" fillId="0" borderId="0" xfId="2" applyNumberFormat="1" applyFont="1" applyFill="1" applyBorder="1" applyAlignment="1" applyProtection="1">
      <alignment vertical="center"/>
    </xf>
    <xf numFmtId="0" fontId="10" fillId="0" borderId="0" xfId="3" applyNumberFormat="1" applyAlignment="1">
      <alignment vertical="center"/>
    </xf>
    <xf numFmtId="0" fontId="10" fillId="0" borderId="0" xfId="3" applyNumberFormat="1" applyFill="1" applyAlignment="1">
      <alignment vertical="center"/>
    </xf>
    <xf numFmtId="3" fontId="5" fillId="0" borderId="132" xfId="12" applyNumberFormat="1" applyFont="1" applyFill="1" applyBorder="1" applyAlignment="1" applyProtection="1">
      <alignment horizontal="center" vertical="center" shrinkToFit="1"/>
    </xf>
    <xf numFmtId="2" fontId="5" fillId="0" borderId="0" xfId="2" applyNumberFormat="1" applyFont="1" applyFill="1" applyBorder="1" applyAlignment="1" applyProtection="1">
      <protection locked="0"/>
    </xf>
    <xf numFmtId="0" fontId="14" fillId="3" borderId="97" xfId="2" applyFont="1" applyFill="1" applyBorder="1" applyAlignment="1" applyProtection="1">
      <alignment horizontal="left" vertical="center" wrapText="1" indent="1"/>
      <protection locked="0"/>
    </xf>
    <xf numFmtId="0" fontId="14" fillId="3" borderId="56" xfId="2" applyFont="1" applyFill="1" applyBorder="1" applyAlignment="1" applyProtection="1">
      <alignment horizontal="left" vertical="center" wrapText="1" indent="1"/>
      <protection locked="0"/>
    </xf>
    <xf numFmtId="0" fontId="14" fillId="3" borderId="177" xfId="2" applyFont="1" applyFill="1" applyBorder="1" applyAlignment="1" applyProtection="1">
      <alignment horizontal="left" vertical="center" wrapText="1" indent="1"/>
      <protection locked="0"/>
    </xf>
    <xf numFmtId="183" fontId="5" fillId="13" borderId="178" xfId="2" applyNumberFormat="1" applyFont="1" applyFill="1" applyBorder="1" applyAlignment="1" applyProtection="1">
      <alignment horizontal="centerContinuous"/>
      <protection locked="0"/>
    </xf>
    <xf numFmtId="183" fontId="5" fillId="13" borderId="0" xfId="2" applyNumberFormat="1" applyFont="1" applyFill="1" applyBorder="1" applyAlignment="1" applyProtection="1">
      <alignment horizontal="centerContinuous"/>
    </xf>
    <xf numFmtId="183" fontId="5" fillId="13" borderId="179" xfId="2" applyNumberFormat="1" applyFont="1" applyFill="1" applyBorder="1" applyAlignment="1" applyProtection="1">
      <alignment horizontal="centerContinuous"/>
      <protection locked="0"/>
    </xf>
    <xf numFmtId="183" fontId="5" fillId="13" borderId="38" xfId="2" applyNumberFormat="1" applyFont="1" applyFill="1" applyBorder="1" applyAlignment="1" applyProtection="1">
      <alignment horizontal="centerContinuous"/>
    </xf>
    <xf numFmtId="183" fontId="5" fillId="14" borderId="178" xfId="2" applyNumberFormat="1" applyFont="1" applyFill="1" applyBorder="1" applyAlignment="1" applyProtection="1">
      <alignment horizontal="centerContinuous"/>
      <protection locked="0"/>
    </xf>
    <xf numFmtId="183" fontId="5" fillId="14" borderId="0" xfId="2" applyNumberFormat="1" applyFont="1" applyFill="1" applyBorder="1" applyAlignment="1" applyProtection="1">
      <alignment horizontal="centerContinuous"/>
    </xf>
    <xf numFmtId="183" fontId="5" fillId="14" borderId="179" xfId="2" applyNumberFormat="1" applyFont="1" applyFill="1" applyBorder="1" applyAlignment="1" applyProtection="1">
      <alignment horizontal="centerContinuous"/>
      <protection locked="0"/>
    </xf>
    <xf numFmtId="183" fontId="5" fillId="14" borderId="38" xfId="2" applyNumberFormat="1" applyFont="1" applyFill="1" applyBorder="1" applyAlignment="1" applyProtection="1">
      <alignment horizontal="centerContinuous"/>
    </xf>
    <xf numFmtId="183" fontId="5" fillId="15" borderId="178" xfId="2" applyNumberFormat="1" applyFont="1" applyFill="1" applyBorder="1" applyAlignment="1" applyProtection="1">
      <alignment horizontal="centerContinuous"/>
      <protection locked="0"/>
    </xf>
    <xf numFmtId="183" fontId="5" fillId="15" borderId="0" xfId="2" applyNumberFormat="1" applyFont="1" applyFill="1" applyBorder="1" applyAlignment="1" applyProtection="1">
      <alignment horizontal="centerContinuous"/>
    </xf>
    <xf numFmtId="183" fontId="5" fillId="15" borderId="179" xfId="2" applyNumberFormat="1" applyFont="1" applyFill="1" applyBorder="1" applyAlignment="1" applyProtection="1">
      <alignment horizontal="centerContinuous"/>
      <protection locked="0"/>
    </xf>
    <xf numFmtId="183" fontId="5" fillId="15" borderId="38" xfId="2" applyNumberFormat="1" applyFont="1" applyFill="1" applyBorder="1" applyAlignment="1" applyProtection="1">
      <alignment horizontal="centerContinuous"/>
    </xf>
    <xf numFmtId="202" fontId="5" fillId="16" borderId="180" xfId="2" applyNumberFormat="1" applyFont="1" applyFill="1" applyBorder="1" applyAlignment="1" applyProtection="1">
      <alignment horizontal="centerContinuous" vertical="center"/>
      <protection locked="0"/>
    </xf>
    <xf numFmtId="202" fontId="5" fillId="16" borderId="181" xfId="2" applyNumberFormat="1" applyFont="1" applyFill="1" applyBorder="1" applyAlignment="1" applyProtection="1">
      <alignment horizontal="centerContinuous" vertical="center"/>
      <protection locked="0"/>
    </xf>
    <xf numFmtId="202" fontId="5" fillId="16" borderId="182" xfId="2" applyNumberFormat="1" applyFont="1" applyFill="1" applyBorder="1" applyAlignment="1" applyProtection="1">
      <alignment horizontal="centerContinuous" vertical="center"/>
      <protection locked="0"/>
    </xf>
    <xf numFmtId="202" fontId="5" fillId="17" borderId="183" xfId="2" applyNumberFormat="1" applyFont="1" applyFill="1" applyBorder="1" applyAlignment="1" applyProtection="1">
      <alignment horizontal="centerContinuous" vertical="center"/>
      <protection locked="0"/>
    </xf>
    <xf numFmtId="202" fontId="5" fillId="17" borderId="181" xfId="2" applyNumberFormat="1" applyFont="1" applyFill="1" applyBorder="1" applyAlignment="1" applyProtection="1">
      <alignment horizontal="centerContinuous" vertical="center"/>
      <protection locked="0"/>
    </xf>
    <xf numFmtId="177" fontId="5" fillId="3" borderId="178" xfId="2" applyNumberFormat="1" applyFont="1" applyFill="1" applyBorder="1" applyAlignment="1" applyProtection="1">
      <alignment horizontal="center" vertical="center"/>
    </xf>
    <xf numFmtId="177" fontId="5" fillId="3" borderId="0" xfId="2" applyNumberFormat="1" applyFont="1" applyFill="1" applyBorder="1" applyAlignment="1" applyProtection="1">
      <alignment horizontal="center" vertical="center"/>
    </xf>
    <xf numFmtId="177" fontId="5" fillId="3" borderId="38" xfId="2" applyNumberFormat="1" applyFont="1" applyFill="1" applyBorder="1" applyAlignment="1" applyProtection="1">
      <alignment horizontal="center" vertical="center"/>
    </xf>
    <xf numFmtId="202" fontId="18" fillId="0" borderId="0" xfId="2" applyNumberFormat="1" applyFont="1" applyFill="1" applyBorder="1" applyAlignment="1" applyProtection="1">
      <alignment vertical="center"/>
    </xf>
    <xf numFmtId="204" fontId="5" fillId="0" borderId="0" xfId="2" applyNumberFormat="1" applyFont="1" applyFill="1" applyBorder="1" applyAlignment="1" applyProtection="1">
      <alignment vertical="center"/>
    </xf>
    <xf numFmtId="193" fontId="5" fillId="0" borderId="0" xfId="12" applyNumberFormat="1" applyFont="1" applyFill="1" applyBorder="1" applyAlignment="1" applyProtection="1">
      <alignment vertical="center"/>
    </xf>
    <xf numFmtId="0" fontId="5" fillId="0" borderId="0" xfId="2" applyFont="1" applyAlignment="1" applyProtection="1">
      <alignment horizontal="center"/>
      <protection locked="0"/>
    </xf>
    <xf numFmtId="0" fontId="5" fillId="18" borderId="96" xfId="2" applyFont="1" applyFill="1" applyBorder="1" applyAlignment="1" applyProtection="1">
      <alignment horizontal="center" vertical="center" textRotation="255" shrinkToFit="1"/>
    </xf>
    <xf numFmtId="0" fontId="5" fillId="3" borderId="101" xfId="2" applyFont="1" applyFill="1" applyBorder="1" applyAlignment="1" applyProtection="1">
      <alignment horizontal="center" vertical="center" shrinkToFit="1"/>
    </xf>
    <xf numFmtId="0" fontId="5" fillId="3" borderId="102" xfId="2" applyFont="1" applyFill="1" applyBorder="1" applyAlignment="1" applyProtection="1">
      <alignment horizontal="center" vertical="center" shrinkToFit="1"/>
    </xf>
    <xf numFmtId="0" fontId="5" fillId="3" borderId="184" xfId="2" applyFont="1" applyFill="1" applyBorder="1" applyAlignment="1" applyProtection="1">
      <alignment horizontal="center" vertical="center" shrinkToFit="1"/>
    </xf>
    <xf numFmtId="0" fontId="5" fillId="3" borderId="61" xfId="2" applyFont="1" applyFill="1" applyBorder="1" applyAlignment="1" applyProtection="1">
      <alignment horizontal="center" vertical="center" shrinkToFit="1"/>
    </xf>
    <xf numFmtId="177" fontId="5" fillId="3" borderId="185" xfId="2" applyNumberFormat="1" applyFont="1" applyFill="1" applyBorder="1" applyAlignment="1" applyProtection="1">
      <alignment horizontal="center" vertical="center" wrapText="1" shrinkToFit="1"/>
    </xf>
    <xf numFmtId="3" fontId="5" fillId="3" borderId="61" xfId="12" applyNumberFormat="1" applyFont="1" applyFill="1" applyBorder="1" applyAlignment="1" applyProtection="1">
      <alignment horizontal="center" vertical="center" shrinkToFit="1"/>
    </xf>
    <xf numFmtId="177" fontId="5" fillId="3" borderId="186" xfId="2" applyNumberFormat="1" applyFont="1" applyFill="1" applyBorder="1" applyAlignment="1" applyProtection="1">
      <alignment horizontal="center" vertical="center" wrapText="1" shrinkToFit="1"/>
    </xf>
    <xf numFmtId="3" fontId="5" fillId="3" borderId="31" xfId="12" applyNumberFormat="1" applyFont="1" applyFill="1" applyBorder="1" applyAlignment="1" applyProtection="1">
      <alignment horizontal="center" vertical="center" shrinkToFit="1"/>
    </xf>
    <xf numFmtId="3" fontId="5" fillId="0" borderId="133" xfId="12" applyNumberFormat="1" applyFont="1" applyFill="1" applyBorder="1" applyAlignment="1" applyProtection="1">
      <alignment horizontal="center" vertical="center" shrinkToFit="1"/>
    </xf>
    <xf numFmtId="0" fontId="5" fillId="18" borderId="58" xfId="2" applyFont="1" applyFill="1" applyBorder="1" applyAlignment="1" applyProtection="1">
      <alignment horizontal="center" vertical="center" textRotation="255" shrinkToFit="1"/>
    </xf>
    <xf numFmtId="183" fontId="5" fillId="3" borderId="185" xfId="2" applyNumberFormat="1" applyFont="1" applyFill="1" applyBorder="1" applyAlignment="1" applyProtection="1">
      <alignment horizontal="center" vertical="center" wrapText="1" shrinkToFit="1"/>
    </xf>
    <xf numFmtId="177" fontId="5" fillId="3" borderId="102" xfId="2" applyNumberFormat="1" applyFont="1" applyFill="1" applyBorder="1" applyAlignment="1" applyProtection="1">
      <alignment horizontal="center" vertical="center" shrinkToFit="1"/>
    </xf>
    <xf numFmtId="183" fontId="5" fillId="3" borderId="186" xfId="2" applyNumberFormat="1" applyFont="1" applyFill="1" applyBorder="1" applyAlignment="1" applyProtection="1">
      <alignment horizontal="center" vertical="center" wrapText="1" shrinkToFit="1"/>
    </xf>
    <xf numFmtId="177" fontId="5" fillId="3" borderId="56" xfId="2" applyNumberFormat="1" applyFont="1" applyFill="1" applyBorder="1" applyAlignment="1" applyProtection="1">
      <alignment horizontal="center" vertical="center"/>
    </xf>
    <xf numFmtId="177" fontId="5" fillId="3" borderId="57" xfId="2" applyNumberFormat="1" applyFont="1" applyFill="1" applyBorder="1" applyAlignment="1" applyProtection="1">
      <alignment horizontal="center" vertical="center"/>
    </xf>
    <xf numFmtId="3" fontId="5" fillId="0" borderId="0" xfId="12" applyNumberFormat="1" applyFont="1" applyFill="1" applyBorder="1" applyAlignment="1" applyProtection="1">
      <alignment horizontal="center" vertical="center" wrapText="1"/>
    </xf>
    <xf numFmtId="205" fontId="5" fillId="0" borderId="0" xfId="12" applyNumberFormat="1" applyFont="1" applyFill="1" applyBorder="1" applyAlignment="1" applyProtection="1">
      <alignment vertical="center"/>
    </xf>
    <xf numFmtId="204" fontId="5" fillId="0" borderId="0" xfId="2" applyNumberFormat="1" applyFont="1" applyFill="1" applyBorder="1" applyAlignment="1" applyProtection="1">
      <alignment horizontal="center" vertical="center" shrinkToFit="1"/>
    </xf>
    <xf numFmtId="205" fontId="5" fillId="0" borderId="0" xfId="2" applyNumberFormat="1" applyFont="1" applyFill="1" applyBorder="1" applyAlignment="1" applyProtection="1">
      <alignment vertical="center"/>
      <protection locked="0"/>
    </xf>
    <xf numFmtId="0" fontId="5" fillId="18" borderId="36" xfId="2" applyFont="1" applyFill="1" applyBorder="1" applyAlignment="1" applyProtection="1">
      <alignment horizontal="center" vertical="center" textRotation="255" shrinkToFit="1"/>
    </xf>
    <xf numFmtId="0" fontId="5" fillId="0" borderId="187" xfId="2" applyNumberFormat="1" applyFont="1" applyFill="1" applyBorder="1" applyAlignment="1" applyProtection="1">
      <alignment horizontal="center"/>
    </xf>
    <xf numFmtId="0" fontId="5" fillId="0" borderId="188" xfId="2" applyNumberFormat="1" applyFont="1" applyFill="1" applyBorder="1" applyAlignment="1" applyProtection="1">
      <alignment horizontal="center"/>
    </xf>
    <xf numFmtId="206" fontId="5" fillId="0" borderId="189" xfId="2" applyNumberFormat="1" applyFont="1" applyFill="1" applyBorder="1" applyProtection="1"/>
    <xf numFmtId="204" fontId="5" fillId="0" borderId="190" xfId="2" applyNumberFormat="1" applyFont="1" applyFill="1" applyBorder="1" applyAlignment="1" applyProtection="1">
      <alignment horizontal="right" shrinkToFit="1"/>
    </xf>
    <xf numFmtId="193" fontId="5" fillId="0" borderId="148" xfId="12" applyNumberFormat="1" applyFont="1" applyFill="1" applyBorder="1" applyAlignment="1" applyProtection="1">
      <alignment horizontal="right" shrinkToFit="1"/>
    </xf>
    <xf numFmtId="204" fontId="5" fillId="0" borderId="128" xfId="2" applyNumberFormat="1" applyFont="1" applyFill="1" applyBorder="1" applyAlignment="1" applyProtection="1">
      <alignment horizontal="right" shrinkToFit="1"/>
    </xf>
    <xf numFmtId="193" fontId="5" fillId="0" borderId="188" xfId="12" applyNumberFormat="1" applyFont="1" applyFill="1" applyBorder="1" applyAlignment="1" applyProtection="1">
      <alignment horizontal="right" shrinkToFit="1"/>
    </xf>
    <xf numFmtId="204" fontId="5" fillId="0" borderId="191" xfId="2" applyNumberFormat="1" applyFont="1" applyFill="1" applyBorder="1" applyAlignment="1" applyProtection="1">
      <alignment horizontal="right" shrinkToFit="1"/>
    </xf>
    <xf numFmtId="193" fontId="5" fillId="0" borderId="192" xfId="12" applyNumberFormat="1" applyFont="1" applyFill="1" applyBorder="1" applyAlignment="1" applyProtection="1">
      <alignment horizontal="right" shrinkToFit="1"/>
    </xf>
    <xf numFmtId="193" fontId="5" fillId="0" borderId="132" xfId="12" applyNumberFormat="1" applyFont="1" applyFill="1" applyBorder="1" applyAlignment="1" applyProtection="1">
      <alignment horizontal="right" shrinkToFit="1"/>
    </xf>
    <xf numFmtId="193" fontId="5" fillId="0" borderId="133" xfId="12" applyNumberFormat="1" applyFont="1" applyFill="1" applyBorder="1" applyAlignment="1" applyProtection="1">
      <alignment horizontal="right" shrinkToFit="1"/>
    </xf>
    <xf numFmtId="0" fontId="5" fillId="18" borderId="28" xfId="2" applyFont="1" applyFill="1" applyBorder="1" applyAlignment="1" applyProtection="1">
      <alignment horizontal="center" vertical="center" textRotation="255" shrinkToFit="1"/>
    </xf>
    <xf numFmtId="183" fontId="5" fillId="0" borderId="190" xfId="2" applyNumberFormat="1" applyFont="1" applyFill="1" applyBorder="1" applyAlignment="1" applyProtection="1">
      <alignment horizontal="right" shrinkToFit="1"/>
    </xf>
    <xf numFmtId="183" fontId="5" fillId="0" borderId="128" xfId="2" applyNumberFormat="1" applyFont="1" applyFill="1" applyBorder="1" applyAlignment="1" applyProtection="1">
      <alignment horizontal="right" shrinkToFit="1"/>
    </xf>
    <xf numFmtId="193" fontId="5" fillId="0" borderId="193" xfId="12" applyNumberFormat="1" applyFont="1" applyFill="1" applyBorder="1" applyAlignment="1" applyProtection="1">
      <alignment horizontal="right" shrinkToFit="1"/>
    </xf>
    <xf numFmtId="202" fontId="5" fillId="13" borderId="194" xfId="2" applyNumberFormat="1" applyFont="1" applyFill="1" applyBorder="1" applyAlignment="1" applyProtection="1">
      <alignment horizontal="center" vertical="center" wrapText="1"/>
      <protection locked="0"/>
    </xf>
    <xf numFmtId="202" fontId="5" fillId="13" borderId="195" xfId="2" applyNumberFormat="1" applyFont="1" applyFill="1" applyBorder="1" applyAlignment="1" applyProtection="1">
      <alignment horizontal="center" vertical="center" wrapText="1"/>
      <protection locked="0"/>
    </xf>
    <xf numFmtId="202" fontId="5" fillId="14" borderId="196" xfId="2" applyNumberFormat="1" applyFont="1" applyFill="1" applyBorder="1" applyAlignment="1" applyProtection="1">
      <alignment horizontal="center" vertical="center" wrapText="1"/>
      <protection locked="0"/>
    </xf>
    <xf numFmtId="202" fontId="5" fillId="14" borderId="195" xfId="2" applyNumberFormat="1" applyFont="1" applyFill="1" applyBorder="1" applyAlignment="1" applyProtection="1">
      <alignment horizontal="center" vertical="center" wrapText="1"/>
      <protection locked="0"/>
    </xf>
    <xf numFmtId="202" fontId="5" fillId="15" borderId="196" xfId="2" applyNumberFormat="1" applyFont="1" applyFill="1" applyBorder="1" applyAlignment="1" applyProtection="1">
      <alignment horizontal="center" vertical="center" wrapText="1"/>
      <protection locked="0"/>
    </xf>
    <xf numFmtId="202" fontId="5" fillId="15" borderId="195" xfId="2" applyNumberFormat="1" applyFont="1" applyFill="1" applyBorder="1" applyAlignment="1" applyProtection="1">
      <alignment horizontal="center" vertical="center" wrapText="1"/>
      <protection locked="0"/>
    </xf>
    <xf numFmtId="202" fontId="18" fillId="19" borderId="196" xfId="2" applyNumberFormat="1" applyFont="1" applyFill="1" applyBorder="1" applyAlignment="1" applyProtection="1">
      <alignment horizontal="center" vertical="center" wrapText="1"/>
      <protection locked="0"/>
    </xf>
    <xf numFmtId="202" fontId="18" fillId="19" borderId="195" xfId="2" applyNumberFormat="1" applyFont="1" applyFill="1" applyBorder="1" applyAlignment="1" applyProtection="1">
      <alignment horizontal="center" vertical="center" wrapText="1"/>
      <protection locked="0"/>
    </xf>
    <xf numFmtId="202" fontId="18" fillId="19" borderId="197" xfId="2" applyNumberFormat="1" applyFont="1" applyFill="1" applyBorder="1" applyAlignment="1" applyProtection="1">
      <alignment horizontal="center" vertical="center" wrapText="1"/>
      <protection locked="0"/>
    </xf>
    <xf numFmtId="202" fontId="18" fillId="19" borderId="125" xfId="2" applyNumberFormat="1" applyFont="1" applyFill="1" applyBorder="1" applyAlignment="1" applyProtection="1">
      <alignment horizontal="center" vertical="center" wrapText="1"/>
      <protection locked="0"/>
    </xf>
    <xf numFmtId="0" fontId="5" fillId="0" borderId="0" xfId="12" applyNumberFormat="1" applyFont="1" applyFill="1" applyBorder="1" applyAlignment="1" applyProtection="1">
      <alignment vertical="center"/>
    </xf>
    <xf numFmtId="0" fontId="5" fillId="0" borderId="0" xfId="2" applyNumberFormat="1" applyFont="1" applyFill="1" applyBorder="1" applyAlignment="1" applyProtection="1">
      <alignment vertical="center"/>
      <protection locked="0"/>
    </xf>
    <xf numFmtId="3" fontId="5" fillId="0" borderId="0" xfId="12" applyNumberFormat="1" applyFont="1" applyFill="1" applyBorder="1" applyAlignment="1" applyProtection="1">
      <alignment vertical="center"/>
    </xf>
    <xf numFmtId="0" fontId="5" fillId="0" borderId="198" xfId="2" applyNumberFormat="1" applyFont="1" applyFill="1" applyBorder="1" applyAlignment="1" applyProtection="1">
      <alignment horizontal="center"/>
    </xf>
    <xf numFmtId="0" fontId="5" fillId="0" borderId="79" xfId="2" applyNumberFormat="1" applyFont="1" applyFill="1" applyBorder="1" applyAlignment="1" applyProtection="1">
      <alignment horizontal="center"/>
    </xf>
    <xf numFmtId="206" fontId="5" fillId="0" borderId="199" xfId="2" applyNumberFormat="1" applyFont="1" applyFill="1" applyBorder="1" applyProtection="1"/>
    <xf numFmtId="204" fontId="5" fillId="0" borderId="200" xfId="2" applyNumberFormat="1" applyFont="1" applyFill="1" applyBorder="1" applyAlignment="1" applyProtection="1">
      <alignment horizontal="right" shrinkToFit="1"/>
    </xf>
    <xf numFmtId="193" fontId="5" fillId="0" borderId="201" xfId="12" applyNumberFormat="1" applyFont="1" applyFill="1" applyBorder="1" applyAlignment="1" applyProtection="1">
      <alignment horizontal="right" shrinkToFit="1"/>
    </xf>
    <xf numFmtId="204" fontId="5" fillId="0" borderId="68" xfId="2" applyNumberFormat="1" applyFont="1" applyFill="1" applyBorder="1" applyAlignment="1" applyProtection="1">
      <alignment horizontal="right" shrinkToFit="1"/>
    </xf>
    <xf numFmtId="193" fontId="5" fillId="0" borderId="79" xfId="12" applyNumberFormat="1" applyFont="1" applyFill="1" applyBorder="1" applyAlignment="1" applyProtection="1">
      <alignment horizontal="right" shrinkToFit="1"/>
    </xf>
    <xf numFmtId="204" fontId="5" fillId="0" borderId="202" xfId="2" applyNumberFormat="1" applyFont="1" applyFill="1" applyBorder="1" applyAlignment="1" applyProtection="1">
      <alignment horizontal="right" shrinkToFit="1"/>
    </xf>
    <xf numFmtId="193" fontId="5" fillId="0" borderId="203" xfId="12" applyNumberFormat="1" applyFont="1" applyFill="1" applyBorder="1" applyAlignment="1" applyProtection="1">
      <alignment horizontal="right" shrinkToFit="1"/>
    </xf>
    <xf numFmtId="183" fontId="5" fillId="0" borderId="200" xfId="2" applyNumberFormat="1" applyFont="1" applyFill="1" applyBorder="1" applyAlignment="1" applyProtection="1">
      <alignment horizontal="right" shrinkToFit="1"/>
    </xf>
    <xf numFmtId="183" fontId="5" fillId="0" borderId="68" xfId="2" applyNumberFormat="1" applyFont="1" applyFill="1" applyBorder="1" applyAlignment="1" applyProtection="1">
      <alignment horizontal="right" shrinkToFit="1"/>
    </xf>
    <xf numFmtId="193" fontId="5" fillId="0" borderId="204" xfId="12" applyNumberFormat="1" applyFont="1" applyFill="1" applyBorder="1" applyAlignment="1" applyProtection="1">
      <alignment horizontal="right" shrinkToFit="1"/>
    </xf>
    <xf numFmtId="202" fontId="5" fillId="13" borderId="178" xfId="2" applyNumberFormat="1" applyFont="1" applyFill="1" applyBorder="1" applyAlignment="1" applyProtection="1">
      <alignment horizontal="center" vertical="center" wrapText="1"/>
      <protection locked="0"/>
    </xf>
    <xf numFmtId="202" fontId="5" fillId="13" borderId="205" xfId="2" applyNumberFormat="1" applyFont="1" applyFill="1" applyBorder="1" applyAlignment="1" applyProtection="1">
      <alignment horizontal="center" vertical="center" wrapText="1"/>
      <protection locked="0"/>
    </xf>
    <xf numFmtId="202" fontId="5" fillId="14" borderId="206" xfId="2" applyNumberFormat="1" applyFont="1" applyFill="1" applyBorder="1" applyAlignment="1" applyProtection="1">
      <alignment horizontal="center" vertical="center" wrapText="1"/>
      <protection locked="0"/>
    </xf>
    <xf numFmtId="202" fontId="5" fillId="14" borderId="205" xfId="2" applyNumberFormat="1" applyFont="1" applyFill="1" applyBorder="1" applyAlignment="1" applyProtection="1">
      <alignment horizontal="center" vertical="center" wrapText="1"/>
      <protection locked="0"/>
    </xf>
    <xf numFmtId="202" fontId="5" fillId="15" borderId="206" xfId="2" applyNumberFormat="1" applyFont="1" applyFill="1" applyBorder="1" applyAlignment="1" applyProtection="1">
      <alignment horizontal="center" vertical="center" wrapText="1"/>
      <protection locked="0"/>
    </xf>
    <xf numFmtId="202" fontId="5" fillId="15" borderId="205" xfId="2" applyNumberFormat="1" applyFont="1" applyFill="1" applyBorder="1" applyAlignment="1" applyProtection="1">
      <alignment horizontal="center" vertical="center" wrapText="1"/>
      <protection locked="0"/>
    </xf>
    <xf numFmtId="202" fontId="18" fillId="19" borderId="206" xfId="2" applyNumberFormat="1" applyFont="1" applyFill="1" applyBorder="1" applyAlignment="1" applyProtection="1">
      <alignment horizontal="center" vertical="center" wrapText="1"/>
      <protection locked="0"/>
    </xf>
    <xf numFmtId="202" fontId="18" fillId="19" borderId="205" xfId="2" applyNumberFormat="1" applyFont="1" applyFill="1" applyBorder="1" applyAlignment="1" applyProtection="1">
      <alignment horizontal="center" vertical="center" wrapText="1"/>
      <protection locked="0"/>
    </xf>
    <xf numFmtId="202" fontId="18" fillId="19" borderId="38" xfId="2" applyNumberFormat="1" applyFont="1" applyFill="1" applyBorder="1" applyAlignment="1" applyProtection="1">
      <alignment horizontal="center" vertical="center" wrapText="1"/>
      <protection locked="0"/>
    </xf>
    <xf numFmtId="193" fontId="5" fillId="0" borderId="0" xfId="12" applyNumberFormat="1" applyFont="1" applyFill="1" applyBorder="1" applyAlignment="1" applyProtection="1">
      <alignment vertical="center" shrinkToFit="1"/>
    </xf>
    <xf numFmtId="177" fontId="5" fillId="3" borderId="14" xfId="2" applyNumberFormat="1" applyFont="1" applyFill="1" applyBorder="1" applyAlignment="1" applyProtection="1">
      <alignment horizontal="center" vertical="center"/>
    </xf>
    <xf numFmtId="177" fontId="5" fillId="3" borderId="15" xfId="2" applyNumberFormat="1" applyFont="1" applyFill="1" applyBorder="1" applyAlignment="1" applyProtection="1">
      <alignment horizontal="center" vertical="center"/>
    </xf>
    <xf numFmtId="0" fontId="5" fillId="3" borderId="207" xfId="2" applyFont="1" applyFill="1" applyBorder="1" applyAlignment="1" applyProtection="1">
      <alignment horizontal="center" vertical="center"/>
    </xf>
    <xf numFmtId="0" fontId="5" fillId="3" borderId="6" xfId="2" applyFont="1" applyFill="1" applyBorder="1" applyAlignment="1" applyProtection="1">
      <alignment horizontal="center" vertical="center"/>
    </xf>
    <xf numFmtId="177" fontId="5" fillId="3" borderId="6" xfId="2" applyNumberFormat="1" applyFont="1" applyFill="1" applyBorder="1" applyAlignment="1" applyProtection="1">
      <alignment horizontal="center" vertical="center"/>
    </xf>
    <xf numFmtId="177" fontId="5" fillId="3" borderId="7" xfId="2" applyNumberFormat="1" applyFont="1" applyFill="1" applyBorder="1" applyAlignment="1" applyProtection="1">
      <alignment horizontal="center" vertical="center"/>
    </xf>
    <xf numFmtId="3" fontId="5" fillId="0" borderId="0" xfId="12" applyNumberFormat="1" applyFont="1" applyFill="1" applyBorder="1" applyAlignment="1" applyProtection="1">
      <alignment horizontal="center" vertical="center"/>
    </xf>
    <xf numFmtId="0" fontId="5" fillId="3" borderId="208" xfId="2" applyFont="1" applyFill="1" applyBorder="1" applyAlignment="1" applyProtection="1">
      <alignment horizontal="center" vertical="center"/>
    </xf>
    <xf numFmtId="0" fontId="5" fillId="3" borderId="209" xfId="2" applyFont="1" applyFill="1" applyBorder="1" applyAlignment="1" applyProtection="1">
      <alignment horizontal="center" vertical="center"/>
    </xf>
    <xf numFmtId="3" fontId="5" fillId="3" borderId="6" xfId="12" applyNumberFormat="1" applyFont="1" applyFill="1" applyBorder="1" applyAlignment="1" applyProtection="1">
      <alignment horizontal="center" vertical="center"/>
    </xf>
    <xf numFmtId="177" fontId="5" fillId="3" borderId="210" xfId="2" applyNumberFormat="1" applyFont="1" applyFill="1" applyBorder="1" applyAlignment="1" applyProtection="1">
      <alignment horizontal="center" vertical="center"/>
    </xf>
    <xf numFmtId="177" fontId="5" fillId="3" borderId="35" xfId="2" applyNumberFormat="1" applyFont="1" applyFill="1" applyBorder="1" applyAlignment="1" applyProtection="1">
      <alignment horizontal="center" vertical="center"/>
    </xf>
    <xf numFmtId="207" fontId="5" fillId="0" borderId="0" xfId="2" applyNumberFormat="1" applyFont="1" applyFill="1" applyBorder="1" applyAlignment="1" applyProtection="1">
      <alignment vertical="center"/>
      <protection locked="0"/>
    </xf>
    <xf numFmtId="0" fontId="5" fillId="0" borderId="211" xfId="2" applyNumberFormat="1" applyFont="1" applyFill="1" applyBorder="1" applyAlignment="1" applyProtection="1">
      <alignment horizontal="center"/>
    </xf>
    <xf numFmtId="0" fontId="5" fillId="0" borderId="212" xfId="2" applyNumberFormat="1" applyFont="1" applyFill="1" applyBorder="1" applyAlignment="1" applyProtection="1">
      <alignment horizontal="center"/>
    </xf>
    <xf numFmtId="206" fontId="5" fillId="0" borderId="213" xfId="2" applyNumberFormat="1" applyFont="1" applyFill="1" applyBorder="1" applyProtection="1"/>
    <xf numFmtId="204" fontId="5" fillId="0" borderId="214" xfId="2" applyNumberFormat="1" applyFont="1" applyFill="1" applyBorder="1" applyAlignment="1" applyProtection="1">
      <alignment horizontal="right" shrinkToFit="1"/>
    </xf>
    <xf numFmtId="193" fontId="5" fillId="0" borderId="215" xfId="12" applyNumberFormat="1" applyFont="1" applyFill="1" applyBorder="1" applyAlignment="1" applyProtection="1">
      <alignment horizontal="right" shrinkToFit="1"/>
    </xf>
    <xf numFmtId="204" fontId="5" fillId="0" borderId="216" xfId="2" applyNumberFormat="1" applyFont="1" applyFill="1" applyBorder="1" applyAlignment="1" applyProtection="1">
      <alignment horizontal="right" shrinkToFit="1"/>
    </xf>
    <xf numFmtId="193" fontId="5" fillId="0" borderId="212" xfId="12" applyNumberFormat="1" applyFont="1" applyFill="1" applyBorder="1" applyAlignment="1" applyProtection="1">
      <alignment horizontal="right" shrinkToFit="1"/>
    </xf>
    <xf numFmtId="204" fontId="5" fillId="0" borderId="217" xfId="2" applyNumberFormat="1" applyFont="1" applyFill="1" applyBorder="1" applyAlignment="1" applyProtection="1">
      <alignment horizontal="right" shrinkToFit="1"/>
    </xf>
    <xf numFmtId="193" fontId="5" fillId="0" borderId="218" xfId="12" applyNumberFormat="1" applyFont="1" applyFill="1" applyBorder="1" applyAlignment="1" applyProtection="1">
      <alignment horizontal="right" shrinkToFit="1"/>
    </xf>
    <xf numFmtId="183" fontId="5" fillId="0" borderId="214" xfId="2" applyNumberFormat="1" applyFont="1" applyFill="1" applyBorder="1" applyAlignment="1" applyProtection="1">
      <alignment horizontal="right" shrinkToFit="1"/>
    </xf>
    <xf numFmtId="183" fontId="5" fillId="0" borderId="216" xfId="2" applyNumberFormat="1" applyFont="1" applyFill="1" applyBorder="1" applyAlignment="1" applyProtection="1">
      <alignment horizontal="right" shrinkToFit="1"/>
    </xf>
    <xf numFmtId="193" fontId="5" fillId="0" borderId="219" xfId="12" applyNumberFormat="1" applyFont="1" applyFill="1" applyBorder="1" applyAlignment="1" applyProtection="1">
      <alignment horizontal="right" shrinkToFit="1"/>
    </xf>
    <xf numFmtId="0" fontId="5" fillId="0" borderId="11" xfId="2" applyNumberFormat="1" applyFont="1" applyFill="1" applyBorder="1" applyAlignment="1" applyProtection="1">
      <alignment horizontal="center" vertical="center"/>
    </xf>
    <xf numFmtId="0" fontId="5" fillId="0" borderId="12" xfId="2" applyNumberFormat="1" applyFont="1" applyFill="1" applyBorder="1" applyAlignment="1" applyProtection="1">
      <alignment horizontal="center" vertical="center"/>
    </xf>
    <xf numFmtId="0" fontId="5" fillId="0" borderId="220" xfId="2" applyNumberFormat="1" applyFont="1" applyFill="1" applyBorder="1" applyAlignment="1" applyProtection="1">
      <alignment horizontal="center" vertical="center" shrinkToFit="1"/>
      <protection locked="0"/>
    </xf>
    <xf numFmtId="208" fontId="5" fillId="0" borderId="12" xfId="2" applyNumberFormat="1" applyFont="1" applyFill="1" applyBorder="1" applyAlignment="1" applyProtection="1">
      <alignment vertical="center"/>
      <protection locked="0"/>
    </xf>
    <xf numFmtId="2" fontId="5" fillId="0" borderId="12" xfId="12" applyNumberFormat="1" applyFont="1" applyFill="1" applyBorder="1" applyAlignment="1" applyProtection="1">
      <alignment vertical="center"/>
    </xf>
    <xf numFmtId="208" fontId="5" fillId="0" borderId="12" xfId="2" applyNumberFormat="1" applyFont="1" applyFill="1" applyBorder="1" applyAlignment="1" applyProtection="1">
      <alignment vertical="center"/>
    </xf>
    <xf numFmtId="208" fontId="5" fillId="0" borderId="13" xfId="2" applyNumberFormat="1" applyFont="1" applyFill="1" applyBorder="1" applyAlignment="1" applyProtection="1">
      <alignment vertical="center"/>
    </xf>
    <xf numFmtId="0" fontId="5" fillId="0" borderId="221" xfId="2" applyNumberFormat="1" applyFont="1" applyFill="1" applyBorder="1" applyAlignment="1" applyProtection="1">
      <alignment horizontal="center" vertical="center" shrinkToFit="1"/>
      <protection locked="0"/>
    </xf>
    <xf numFmtId="208" fontId="5" fillId="0" borderId="221" xfId="2" applyNumberFormat="1" applyFont="1" applyFill="1" applyBorder="1" applyAlignment="1" applyProtection="1">
      <alignment vertical="center"/>
      <protection locked="0"/>
    </xf>
    <xf numFmtId="208" fontId="5" fillId="0" borderId="220" xfId="2" applyNumberFormat="1" applyFont="1" applyFill="1" applyBorder="1" applyAlignment="1" applyProtection="1">
      <alignment vertical="center"/>
      <protection locked="0"/>
    </xf>
    <xf numFmtId="208" fontId="5" fillId="0" borderId="12" xfId="12" applyNumberFormat="1" applyFont="1" applyFill="1" applyBorder="1" applyAlignment="1" applyProtection="1">
      <alignment vertical="center"/>
    </xf>
    <xf numFmtId="208" fontId="5" fillId="0" borderId="12" xfId="2" applyNumberFormat="1" applyFont="1" applyFill="1" applyBorder="1" applyAlignment="1" applyProtection="1">
      <alignment vertical="center"/>
    </xf>
    <xf numFmtId="208" fontId="5" fillId="0" borderId="13" xfId="2" applyNumberFormat="1" applyFont="1" applyFill="1" applyBorder="1" applyAlignment="1" applyProtection="1">
      <alignment vertical="center"/>
    </xf>
    <xf numFmtId="0" fontId="5" fillId="18" borderId="222" xfId="2" applyFont="1" applyFill="1" applyBorder="1" applyAlignment="1" applyProtection="1">
      <alignment horizontal="center" vertical="center" textRotation="255" shrinkToFit="1"/>
    </xf>
    <xf numFmtId="0" fontId="5" fillId="0" borderId="223" xfId="2" applyFont="1" applyFill="1" applyBorder="1" applyProtection="1"/>
    <xf numFmtId="209" fontId="5" fillId="0" borderId="223" xfId="2" applyNumberFormat="1" applyFont="1" applyFill="1" applyBorder="1" applyProtection="1"/>
    <xf numFmtId="177" fontId="5" fillId="0" borderId="194" xfId="2" applyNumberFormat="1" applyFont="1" applyFill="1" applyBorder="1" applyAlignment="1" applyProtection="1">
      <alignment horizontal="right" shrinkToFit="1"/>
    </xf>
    <xf numFmtId="3" fontId="5" fillId="0" borderId="224" xfId="12" applyNumberFormat="1" applyFont="1" applyFill="1" applyBorder="1" applyAlignment="1" applyProtection="1">
      <alignment horizontal="right" shrinkToFit="1"/>
    </xf>
    <xf numFmtId="177" fontId="5" fillId="0" borderId="196" xfId="2" applyNumberFormat="1" applyFont="1" applyFill="1" applyBorder="1" applyAlignment="1" applyProtection="1">
      <alignment horizontal="right" shrinkToFit="1"/>
    </xf>
    <xf numFmtId="3" fontId="5" fillId="0" borderId="225" xfId="12" applyNumberFormat="1" applyFont="1" applyFill="1" applyBorder="1" applyAlignment="1" applyProtection="1">
      <alignment horizontal="right" shrinkToFit="1"/>
    </xf>
    <xf numFmtId="3" fontId="5" fillId="0" borderId="132" xfId="12" applyNumberFormat="1" applyFont="1" applyFill="1" applyBorder="1" applyAlignment="1" applyProtection="1">
      <alignment horizontal="right" shrinkToFit="1"/>
    </xf>
    <xf numFmtId="3" fontId="5" fillId="0" borderId="133" xfId="12" applyNumberFormat="1" applyFont="1" applyFill="1" applyBorder="1" applyAlignment="1" applyProtection="1">
      <alignment horizontal="right" shrinkToFit="1"/>
    </xf>
    <xf numFmtId="183" fontId="5" fillId="0" borderId="226" xfId="2" applyNumberFormat="1" applyFont="1" applyFill="1" applyBorder="1" applyAlignment="1" applyProtection="1">
      <alignment horizontal="right" shrinkToFit="1"/>
    </xf>
    <xf numFmtId="177" fontId="5" fillId="0" borderId="223" xfId="2" applyNumberFormat="1" applyFont="1" applyFill="1" applyBorder="1" applyAlignment="1" applyProtection="1">
      <alignment horizontal="right" shrinkToFit="1"/>
    </xf>
    <xf numFmtId="183" fontId="5" fillId="0" borderId="227" xfId="2" applyNumberFormat="1" applyFont="1" applyFill="1" applyBorder="1" applyAlignment="1" applyProtection="1">
      <alignment horizontal="right" shrinkToFit="1"/>
    </xf>
    <xf numFmtId="3" fontId="5" fillId="0" borderId="228" xfId="12" applyNumberFormat="1" applyFont="1" applyFill="1" applyBorder="1" applyAlignment="1" applyProtection="1">
      <alignment horizontal="right" shrinkToFit="1"/>
    </xf>
    <xf numFmtId="177" fontId="5" fillId="0" borderId="0" xfId="2" applyNumberFormat="1" applyFont="1" applyFill="1" applyBorder="1" applyAlignment="1" applyProtection="1">
      <alignment horizontal="right" shrinkToFit="1"/>
    </xf>
    <xf numFmtId="3" fontId="5" fillId="0" borderId="0" xfId="12" applyNumberFormat="1" applyFont="1" applyFill="1" applyBorder="1" applyAlignment="1" applyProtection="1">
      <alignment vertical="center" shrinkToFit="1"/>
    </xf>
    <xf numFmtId="2" fontId="5" fillId="0" borderId="12" xfId="2" applyNumberFormat="1" applyFont="1" applyFill="1" applyBorder="1" applyAlignment="1" applyProtection="1">
      <alignment vertical="center"/>
    </xf>
    <xf numFmtId="177" fontId="5" fillId="0" borderId="0" xfId="2" applyNumberFormat="1" applyFont="1" applyFill="1" applyBorder="1" applyAlignment="1" applyProtection="1">
      <alignment vertical="center" wrapText="1" shrinkToFit="1"/>
    </xf>
    <xf numFmtId="0" fontId="5" fillId="3" borderId="229" xfId="2" applyFont="1" applyFill="1" applyBorder="1" applyAlignment="1" applyProtection="1">
      <alignment horizontal="center" vertical="center" shrinkToFit="1"/>
      <protection locked="0"/>
    </xf>
    <xf numFmtId="0" fontId="5" fillId="3" borderId="230" xfId="2" applyFont="1" applyFill="1" applyBorder="1" applyAlignment="1" applyProtection="1">
      <alignment horizontal="center" vertical="center" shrinkToFit="1"/>
    </xf>
    <xf numFmtId="0" fontId="5" fillId="3" borderId="231" xfId="2" applyFont="1" applyFill="1" applyBorder="1" applyAlignment="1" applyProtection="1">
      <alignment horizontal="center" vertical="center" shrinkToFit="1"/>
    </xf>
    <xf numFmtId="210" fontId="5" fillId="3" borderId="232" xfId="2" applyNumberFormat="1" applyFont="1" applyFill="1" applyBorder="1" applyAlignment="1" applyProtection="1">
      <alignment horizontal="center" vertical="center" shrinkToFit="1"/>
      <protection locked="0"/>
    </xf>
    <xf numFmtId="177" fontId="5" fillId="3" borderId="233" xfId="2" applyNumberFormat="1" applyFont="1" applyFill="1" applyBorder="1" applyAlignment="1" applyProtection="1">
      <alignment horizontal="center" vertical="center" wrapText="1" shrinkToFit="1"/>
    </xf>
    <xf numFmtId="0" fontId="5" fillId="3" borderId="3" xfId="2" applyFont="1" applyFill="1" applyBorder="1" applyAlignment="1" applyProtection="1">
      <alignment horizontal="center" vertical="center" shrinkToFit="1"/>
    </xf>
    <xf numFmtId="177" fontId="5" fillId="3" borderId="234" xfId="2" applyNumberFormat="1" applyFont="1" applyFill="1" applyBorder="1" applyAlignment="1" applyProtection="1">
      <alignment horizontal="center" vertical="center" wrapText="1" shrinkToFit="1"/>
    </xf>
    <xf numFmtId="0" fontId="5" fillId="3" borderId="4" xfId="2" applyFont="1" applyFill="1" applyBorder="1" applyAlignment="1" applyProtection="1">
      <alignment horizontal="center" vertical="center" shrinkToFit="1"/>
    </xf>
    <xf numFmtId="0" fontId="5" fillId="0" borderId="132" xfId="2" applyFont="1" applyFill="1" applyBorder="1" applyAlignment="1" applyProtection="1">
      <alignment horizontal="center" vertical="center" shrinkToFit="1"/>
    </xf>
    <xf numFmtId="0" fontId="5" fillId="0" borderId="133" xfId="2" applyFont="1" applyFill="1" applyBorder="1" applyAlignment="1" applyProtection="1">
      <alignment horizontal="center" vertical="center" shrinkToFit="1"/>
    </xf>
    <xf numFmtId="183" fontId="5" fillId="3" borderId="233" xfId="2" applyNumberFormat="1" applyFont="1" applyFill="1" applyBorder="1" applyAlignment="1" applyProtection="1">
      <alignment horizontal="center" vertical="center" wrapText="1" shrinkToFit="1"/>
    </xf>
    <xf numFmtId="177" fontId="5" fillId="3" borderId="231" xfId="2" applyNumberFormat="1" applyFont="1" applyFill="1" applyBorder="1" applyAlignment="1" applyProtection="1">
      <alignment horizontal="center" vertical="center" shrinkToFit="1"/>
    </xf>
    <xf numFmtId="183" fontId="5" fillId="3" borderId="234" xfId="2" applyNumberFormat="1" applyFont="1" applyFill="1" applyBorder="1" applyAlignment="1" applyProtection="1">
      <alignment horizontal="center" vertical="center" wrapText="1" shrinkToFit="1"/>
    </xf>
    <xf numFmtId="0" fontId="5" fillId="3" borderId="235" xfId="2" applyFont="1" applyFill="1" applyBorder="1" applyAlignment="1" applyProtection="1">
      <alignment horizontal="center" vertical="center" shrinkToFit="1"/>
    </xf>
    <xf numFmtId="177" fontId="5" fillId="0" borderId="0" xfId="2" applyNumberFormat="1" applyFont="1" applyFill="1" applyBorder="1" applyAlignment="1" applyProtection="1">
      <alignment horizontal="center" vertical="center" wrapText="1" shrinkToFit="1"/>
    </xf>
    <xf numFmtId="0" fontId="5" fillId="0" borderId="0" xfId="2" applyFont="1" applyFill="1" applyBorder="1" applyAlignment="1" applyProtection="1">
      <alignment horizontal="center" vertical="center" wrapText="1"/>
    </xf>
    <xf numFmtId="193" fontId="5" fillId="0" borderId="0" xfId="12" applyNumberFormat="1" applyFont="1" applyFill="1" applyBorder="1" applyAlignment="1" applyProtection="1">
      <alignment horizontal="center" vertical="center"/>
    </xf>
    <xf numFmtId="0" fontId="5" fillId="0" borderId="236" xfId="2" applyNumberFormat="1" applyFont="1" applyFill="1" applyBorder="1" applyAlignment="1" applyProtection="1">
      <alignment horizontal="center"/>
    </xf>
    <xf numFmtId="211" fontId="5" fillId="0" borderId="188" xfId="2" applyNumberFormat="1" applyFont="1" applyFill="1" applyBorder="1" applyAlignment="1" applyProtection="1">
      <alignment horizontal="center"/>
      <protection locked="0"/>
    </xf>
    <xf numFmtId="0" fontId="5" fillId="0" borderId="236" xfId="2" applyNumberFormat="1" applyFont="1" applyFill="1" applyBorder="1" applyAlignment="1" applyProtection="1">
      <alignment horizontal="center"/>
      <protection locked="0"/>
    </xf>
    <xf numFmtId="207" fontId="5" fillId="0" borderId="190" xfId="2" applyNumberFormat="1" applyFont="1" applyFill="1" applyBorder="1" applyAlignment="1" applyProtection="1">
      <alignment horizontal="right" shrinkToFit="1"/>
      <protection locked="0"/>
    </xf>
    <xf numFmtId="207" fontId="5" fillId="0" borderId="237" xfId="2" applyNumberFormat="1" applyFont="1" applyFill="1" applyBorder="1" applyAlignment="1" applyProtection="1">
      <alignment horizontal="right" shrinkToFit="1"/>
      <protection locked="0"/>
    </xf>
    <xf numFmtId="193" fontId="5" fillId="0" borderId="129" xfId="12" applyNumberFormat="1" applyFont="1" applyFill="1" applyBorder="1" applyAlignment="1" applyProtection="1">
      <alignment horizontal="right" shrinkToFit="1"/>
    </xf>
    <xf numFmtId="183" fontId="5" fillId="0" borderId="190" xfId="2" applyNumberFormat="1" applyFont="1" applyFill="1" applyBorder="1" applyAlignment="1" applyProtection="1">
      <alignment horizontal="right" shrinkToFit="1"/>
      <protection locked="0"/>
    </xf>
    <xf numFmtId="207" fontId="5" fillId="0" borderId="128" xfId="2" applyNumberFormat="1" applyFont="1" applyFill="1" applyBorder="1" applyAlignment="1" applyProtection="1">
      <alignment horizontal="right" shrinkToFit="1"/>
      <protection locked="0"/>
    </xf>
    <xf numFmtId="183" fontId="5" fillId="0" borderId="237" xfId="2" applyNumberFormat="1" applyFont="1" applyFill="1" applyBorder="1" applyAlignment="1" applyProtection="1">
      <alignment horizontal="right" shrinkToFit="1"/>
      <protection locked="0"/>
    </xf>
    <xf numFmtId="207" fontId="5" fillId="0" borderId="0" xfId="2" applyNumberFormat="1" applyFont="1" applyFill="1" applyBorder="1" applyAlignment="1" applyProtection="1">
      <alignment horizontal="right" shrinkToFit="1"/>
      <protection locked="0"/>
    </xf>
    <xf numFmtId="0" fontId="5" fillId="0" borderId="0" xfId="2" applyNumberFormat="1" applyFont="1" applyFill="1" applyBorder="1" applyAlignment="1" applyProtection="1">
      <alignment vertical="center" shrinkToFit="1"/>
      <protection locked="0"/>
    </xf>
    <xf numFmtId="208" fontId="5" fillId="0" borderId="0" xfId="12" applyNumberFormat="1" applyFont="1" applyFill="1" applyBorder="1" applyAlignment="1" applyProtection="1">
      <alignment vertical="center"/>
    </xf>
    <xf numFmtId="0" fontId="5" fillId="0" borderId="238" xfId="2" applyNumberFormat="1" applyFont="1" applyFill="1" applyBorder="1" applyAlignment="1" applyProtection="1">
      <alignment horizontal="center"/>
    </xf>
    <xf numFmtId="211" fontId="5" fillId="0" borderId="79" xfId="2" applyNumberFormat="1" applyFont="1" applyFill="1" applyBorder="1" applyAlignment="1" applyProtection="1">
      <alignment horizontal="center"/>
      <protection locked="0"/>
    </xf>
    <xf numFmtId="0" fontId="5" fillId="0" borderId="238" xfId="2" applyNumberFormat="1" applyFont="1" applyFill="1" applyBorder="1" applyAlignment="1" applyProtection="1">
      <alignment horizontal="center"/>
      <protection locked="0"/>
    </xf>
    <xf numFmtId="207" fontId="5" fillId="0" borderId="200" xfId="2" applyNumberFormat="1" applyFont="1" applyFill="1" applyBorder="1" applyAlignment="1" applyProtection="1">
      <alignment horizontal="right" shrinkToFit="1"/>
      <protection locked="0"/>
    </xf>
    <xf numFmtId="207" fontId="5" fillId="0" borderId="239" xfId="2" applyNumberFormat="1" applyFont="1" applyFill="1" applyBorder="1" applyAlignment="1" applyProtection="1">
      <alignment horizontal="right" shrinkToFit="1"/>
      <protection locked="0"/>
    </xf>
    <xf numFmtId="183" fontId="5" fillId="0" borderId="200" xfId="2" applyNumberFormat="1" applyFont="1" applyFill="1" applyBorder="1" applyAlignment="1" applyProtection="1">
      <alignment horizontal="right" shrinkToFit="1"/>
      <protection locked="0"/>
    </xf>
    <xf numFmtId="207" fontId="5" fillId="0" borderId="68" xfId="2" applyNumberFormat="1" applyFont="1" applyFill="1" applyBorder="1" applyAlignment="1" applyProtection="1">
      <alignment horizontal="right" shrinkToFit="1"/>
      <protection locked="0"/>
    </xf>
    <xf numFmtId="183" fontId="5" fillId="0" borderId="239" xfId="2" applyNumberFormat="1" applyFont="1" applyFill="1" applyBorder="1" applyAlignment="1" applyProtection="1">
      <alignment horizontal="right" shrinkToFit="1"/>
      <protection locked="0"/>
    </xf>
    <xf numFmtId="177" fontId="5" fillId="0" borderId="0" xfId="2" applyNumberFormat="1" applyFont="1" applyFill="1" applyBorder="1" applyAlignment="1" applyProtection="1">
      <alignment horizontal="right" vertical="center"/>
    </xf>
    <xf numFmtId="0" fontId="5" fillId="0" borderId="79" xfId="2" applyNumberFormat="1" applyFont="1" applyFill="1" applyBorder="1" applyAlignment="1" applyProtection="1">
      <alignment horizontal="center"/>
      <protection locked="0"/>
    </xf>
    <xf numFmtId="0" fontId="5" fillId="0" borderId="58" xfId="12" applyNumberFormat="1" applyFont="1" applyFill="1" applyBorder="1" applyAlignment="1" applyProtection="1">
      <alignment horizontal="center" vertical="center" shrinkToFit="1"/>
    </xf>
    <xf numFmtId="0" fontId="5" fillId="0" borderId="61" xfId="12" applyNumberFormat="1" applyFont="1" applyFill="1" applyBorder="1" applyAlignment="1" applyProtection="1">
      <alignment horizontal="center" vertical="center" shrinkToFit="1"/>
    </xf>
    <xf numFmtId="0" fontId="5" fillId="0" borderId="220" xfId="12" applyNumberFormat="1" applyFont="1" applyFill="1" applyBorder="1" applyAlignment="1" applyProtection="1">
      <alignment horizontal="center" vertical="center" shrinkToFit="1"/>
    </xf>
    <xf numFmtId="208" fontId="5" fillId="0" borderId="52" xfId="12" applyNumberFormat="1" applyFont="1" applyFill="1" applyBorder="1" applyAlignment="1" applyProtection="1">
      <alignment vertical="center"/>
    </xf>
    <xf numFmtId="208" fontId="5" fillId="0" borderId="52" xfId="2" applyNumberFormat="1" applyFont="1" applyFill="1" applyBorder="1" applyAlignment="1" applyProtection="1">
      <alignment vertical="center"/>
    </xf>
    <xf numFmtId="208" fontId="5" fillId="0" borderId="221" xfId="12" applyNumberFormat="1" applyFont="1" applyFill="1" applyBorder="1" applyAlignment="1" applyProtection="1">
      <alignment vertical="center"/>
    </xf>
    <xf numFmtId="208" fontId="5" fillId="0" borderId="220" xfId="12" applyNumberFormat="1" applyFont="1" applyFill="1" applyBorder="1" applyAlignment="1" applyProtection="1">
      <alignment vertical="center"/>
    </xf>
    <xf numFmtId="208" fontId="5" fillId="0" borderId="221" xfId="2" applyNumberFormat="1" applyFont="1" applyFill="1" applyBorder="1" applyAlignment="1" applyProtection="1">
      <alignment vertical="center"/>
    </xf>
    <xf numFmtId="208" fontId="5" fillId="0" borderId="31" xfId="2" applyNumberFormat="1" applyFont="1" applyFill="1" applyBorder="1" applyAlignment="1" applyProtection="1">
      <alignment vertical="center"/>
    </xf>
    <xf numFmtId="198" fontId="5" fillId="0" borderId="0" xfId="2" applyNumberFormat="1" applyFont="1" applyFill="1" applyBorder="1" applyAlignment="1" applyProtection="1">
      <alignment vertical="center"/>
      <protection locked="0"/>
    </xf>
    <xf numFmtId="3" fontId="5" fillId="0" borderId="58" xfId="12" applyNumberFormat="1" applyFont="1" applyFill="1" applyBorder="1" applyAlignment="1" applyProtection="1">
      <alignment horizontal="center" vertical="center"/>
    </xf>
    <xf numFmtId="3" fontId="5" fillId="0" borderId="61" xfId="12" applyNumberFormat="1" applyFont="1" applyFill="1" applyBorder="1" applyAlignment="1" applyProtection="1">
      <alignment horizontal="center" vertical="center"/>
    </xf>
    <xf numFmtId="3" fontId="5" fillId="0" borderId="220" xfId="12" applyNumberFormat="1" applyFont="1" applyFill="1" applyBorder="1" applyAlignment="1" applyProtection="1">
      <alignment horizontal="center" vertical="center"/>
    </xf>
    <xf numFmtId="208" fontId="5" fillId="0" borderId="52" xfId="12" applyNumberFormat="1" applyFont="1" applyFill="1" applyBorder="1" applyAlignment="1" applyProtection="1">
      <alignment horizontal="center" vertical="center"/>
    </xf>
    <xf numFmtId="208" fontId="5" fillId="0" borderId="240" xfId="2" applyNumberFormat="1" applyFont="1" applyFill="1" applyBorder="1" applyAlignment="1" applyProtection="1">
      <alignment vertical="center"/>
    </xf>
    <xf numFmtId="208" fontId="5" fillId="0" borderId="52" xfId="2" applyNumberFormat="1" applyFont="1" applyFill="1" applyBorder="1" applyAlignment="1" applyProtection="1">
      <alignment horizontal="center" vertical="center"/>
    </xf>
    <xf numFmtId="208" fontId="5" fillId="0" borderId="240" xfId="2" applyNumberFormat="1" applyFont="1" applyFill="1" applyBorder="1" applyAlignment="1" applyProtection="1">
      <alignment horizontal="center" vertical="center"/>
    </xf>
    <xf numFmtId="208" fontId="5" fillId="0" borderId="0" xfId="12" applyNumberFormat="1" applyFont="1" applyFill="1" applyBorder="1" applyAlignment="1" applyProtection="1">
      <alignment horizontal="center" vertical="center"/>
    </xf>
    <xf numFmtId="208" fontId="5" fillId="0" borderId="0" xfId="2" applyNumberFormat="1" applyFont="1" applyFill="1" applyBorder="1" applyAlignment="1" applyProtection="1">
      <alignment vertical="center"/>
    </xf>
    <xf numFmtId="212" fontId="5" fillId="0" borderId="0" xfId="2" applyNumberFormat="1" applyFont="1" applyFill="1" applyBorder="1" applyAlignment="1" applyProtection="1">
      <alignment vertical="center"/>
    </xf>
    <xf numFmtId="3" fontId="5" fillId="0" borderId="0" xfId="12" applyNumberFormat="1" applyFont="1" applyFill="1" applyBorder="1" applyAlignment="1" applyProtection="1">
      <alignment horizontal="right" vertical="center"/>
    </xf>
    <xf numFmtId="213" fontId="5" fillId="0" borderId="0" xfId="2" applyNumberFormat="1" applyFont="1" applyFill="1" applyBorder="1" applyAlignment="1" applyProtection="1">
      <alignment vertical="center"/>
    </xf>
    <xf numFmtId="0" fontId="5" fillId="0" borderId="132" xfId="2" applyFont="1" applyFill="1" applyBorder="1" applyAlignment="1" applyProtection="1">
      <alignment horizontal="center" shrinkToFit="1"/>
    </xf>
    <xf numFmtId="0" fontId="5" fillId="0" borderId="212" xfId="2" applyNumberFormat="1" applyFont="1" applyFill="1" applyBorder="1" applyAlignment="1" applyProtection="1">
      <alignment horizontal="center"/>
      <protection locked="0"/>
    </xf>
    <xf numFmtId="0" fontId="5" fillId="0" borderId="241" xfId="2" applyNumberFormat="1" applyFont="1" applyFill="1" applyBorder="1" applyAlignment="1" applyProtection="1">
      <alignment horizontal="center"/>
    </xf>
    <xf numFmtId="211" fontId="5" fillId="0" borderId="212" xfId="2" applyNumberFormat="1" applyFont="1" applyFill="1" applyBorder="1" applyAlignment="1" applyProtection="1">
      <alignment horizontal="center"/>
      <protection locked="0"/>
    </xf>
    <xf numFmtId="0" fontId="5" fillId="0" borderId="241" xfId="2" applyNumberFormat="1" applyFont="1" applyFill="1" applyBorder="1" applyAlignment="1" applyProtection="1">
      <alignment horizontal="center"/>
      <protection locked="0"/>
    </xf>
    <xf numFmtId="207" fontId="5" fillId="0" borderId="214" xfId="2" applyNumberFormat="1" applyFont="1" applyFill="1" applyBorder="1" applyAlignment="1" applyProtection="1">
      <alignment horizontal="right" shrinkToFit="1"/>
      <protection locked="0"/>
    </xf>
    <xf numFmtId="207" fontId="5" fillId="0" borderId="242" xfId="2" applyNumberFormat="1" applyFont="1" applyFill="1" applyBorder="1" applyAlignment="1" applyProtection="1">
      <alignment horizontal="right" shrinkToFit="1"/>
      <protection locked="0"/>
    </xf>
    <xf numFmtId="183" fontId="5" fillId="0" borderId="214" xfId="2" applyNumberFormat="1" applyFont="1" applyFill="1" applyBorder="1" applyAlignment="1" applyProtection="1">
      <alignment horizontal="right" shrinkToFit="1"/>
      <protection locked="0"/>
    </xf>
    <xf numFmtId="207" fontId="5" fillId="0" borderId="216" xfId="2" applyNumberFormat="1" applyFont="1" applyFill="1" applyBorder="1" applyAlignment="1" applyProtection="1">
      <alignment horizontal="right" shrinkToFit="1"/>
      <protection locked="0"/>
    </xf>
    <xf numFmtId="183" fontId="5" fillId="0" borderId="242" xfId="2" applyNumberFormat="1" applyFont="1" applyFill="1" applyBorder="1" applyAlignment="1" applyProtection="1">
      <alignment horizontal="right" shrinkToFit="1"/>
      <protection locked="0"/>
    </xf>
    <xf numFmtId="2" fontId="5" fillId="0" borderId="0" xfId="2" applyNumberFormat="1" applyFont="1" applyFill="1" applyBorder="1" applyAlignment="1" applyProtection="1">
      <alignment vertical="center"/>
    </xf>
    <xf numFmtId="177" fontId="5" fillId="0" borderId="243" xfId="2" applyNumberFormat="1" applyFont="1" applyFill="1" applyBorder="1" applyAlignment="1" applyProtection="1">
      <alignment horizontal="right" shrinkToFit="1"/>
    </xf>
    <xf numFmtId="177" fontId="5" fillId="0" borderId="244" xfId="2" applyNumberFormat="1" applyFont="1" applyFill="1" applyBorder="1" applyAlignment="1" applyProtection="1">
      <alignment horizontal="right" shrinkToFit="1"/>
    </xf>
    <xf numFmtId="183" fontId="5" fillId="0" borderId="245" xfId="2" applyNumberFormat="1" applyFont="1" applyFill="1" applyBorder="1" applyAlignment="1" applyProtection="1">
      <alignment horizontal="right" shrinkToFit="1"/>
    </xf>
    <xf numFmtId="0" fontId="5" fillId="18" borderId="246" xfId="2" applyFont="1" applyFill="1" applyBorder="1" applyAlignment="1" applyProtection="1">
      <alignment horizontal="center" vertical="center" textRotation="255" shrinkToFit="1"/>
    </xf>
    <xf numFmtId="0" fontId="5" fillId="3" borderId="2" xfId="2" applyFont="1" applyFill="1" applyBorder="1" applyAlignment="1" applyProtection="1">
      <alignment vertical="center"/>
    </xf>
    <xf numFmtId="0" fontId="5" fillId="3" borderId="3" xfId="2" applyFont="1" applyFill="1" applyBorder="1" applyAlignment="1" applyProtection="1">
      <alignment vertical="center" shrinkToFit="1"/>
    </xf>
    <xf numFmtId="177" fontId="5" fillId="3" borderId="233" xfId="2" applyNumberFormat="1" applyFont="1" applyFill="1" applyBorder="1" applyAlignment="1" applyProtection="1">
      <alignment horizontal="center" vertical="center" shrinkToFit="1"/>
    </xf>
    <xf numFmtId="177" fontId="5" fillId="3" borderId="234" xfId="2" applyNumberFormat="1" applyFont="1" applyFill="1" applyBorder="1" applyAlignment="1" applyProtection="1">
      <alignment horizontal="center" vertical="center" shrinkToFit="1"/>
    </xf>
    <xf numFmtId="177" fontId="5" fillId="3" borderId="247" xfId="2" applyNumberFormat="1" applyFont="1" applyFill="1" applyBorder="1" applyAlignment="1" applyProtection="1">
      <alignment horizontal="center" vertical="center" shrinkToFit="1"/>
    </xf>
    <xf numFmtId="0" fontId="5" fillId="3" borderId="2" xfId="2" applyFont="1" applyFill="1" applyBorder="1" applyProtection="1"/>
    <xf numFmtId="0" fontId="5" fillId="3" borderId="3" xfId="2" applyFont="1" applyFill="1" applyBorder="1" applyAlignment="1" applyProtection="1">
      <alignment shrinkToFit="1"/>
    </xf>
    <xf numFmtId="0" fontId="5" fillId="3" borderId="3" xfId="2" applyFont="1" applyFill="1" applyBorder="1" applyAlignment="1" applyProtection="1">
      <alignment horizontal="center" shrinkToFit="1"/>
    </xf>
    <xf numFmtId="0" fontId="5" fillId="0" borderId="133" xfId="2" applyFont="1" applyFill="1" applyBorder="1" applyAlignment="1" applyProtection="1">
      <alignment horizontal="center" shrinkToFit="1"/>
    </xf>
    <xf numFmtId="183" fontId="5" fillId="3" borderId="233" xfId="2" applyNumberFormat="1" applyFont="1" applyFill="1" applyBorder="1" applyAlignment="1" applyProtection="1">
      <alignment horizontal="center" vertical="center" shrinkToFit="1"/>
    </xf>
    <xf numFmtId="183" fontId="5" fillId="3" borderId="234" xfId="2" applyNumberFormat="1" applyFont="1" applyFill="1" applyBorder="1" applyAlignment="1" applyProtection="1">
      <alignment horizontal="center" vertical="center" shrinkToFit="1"/>
    </xf>
    <xf numFmtId="177" fontId="5" fillId="0" borderId="0" xfId="2" applyNumberFormat="1" applyFont="1" applyFill="1" applyBorder="1" applyAlignment="1" applyProtection="1">
      <alignment horizontal="center" shrinkToFit="1"/>
    </xf>
    <xf numFmtId="0" fontId="5" fillId="0" borderId="0" xfId="2" applyFont="1" applyFill="1" applyBorder="1" applyAlignment="1" applyProtection="1">
      <alignment vertical="center" shrinkToFit="1"/>
    </xf>
    <xf numFmtId="177" fontId="5" fillId="0" borderId="0" xfId="2" applyNumberFormat="1" applyFont="1" applyFill="1" applyBorder="1" applyAlignment="1" applyProtection="1">
      <alignment vertical="center"/>
      <protection locked="0"/>
    </xf>
    <xf numFmtId="0" fontId="5" fillId="0" borderId="188" xfId="2" applyFont="1" applyFill="1" applyBorder="1" applyAlignment="1" applyProtection="1">
      <alignment horizontal="left" indent="1"/>
    </xf>
    <xf numFmtId="0" fontId="5" fillId="0" borderId="188" xfId="2" applyNumberFormat="1" applyFont="1" applyFill="1" applyBorder="1" applyAlignment="1" applyProtection="1">
      <alignment horizontal="left" shrinkToFit="1"/>
    </xf>
    <xf numFmtId="214" fontId="5" fillId="0" borderId="188" xfId="2" applyNumberFormat="1" applyFont="1" applyFill="1" applyBorder="1" applyAlignment="1" applyProtection="1">
      <alignment shrinkToFit="1"/>
      <protection locked="0"/>
    </xf>
    <xf numFmtId="215" fontId="5" fillId="0" borderId="188" xfId="12" applyNumberFormat="1" applyFont="1" applyFill="1" applyBorder="1" applyAlignment="1" applyProtection="1">
      <alignment horizontal="center" shrinkToFit="1"/>
      <protection locked="0"/>
    </xf>
    <xf numFmtId="0" fontId="5" fillId="0" borderId="188" xfId="2" applyNumberFormat="1" applyFont="1" applyFill="1" applyBorder="1" applyAlignment="1" applyProtection="1">
      <alignment shrinkToFit="1"/>
    </xf>
    <xf numFmtId="0" fontId="5" fillId="0" borderId="190" xfId="2" applyNumberFormat="1" applyFont="1" applyFill="1" applyBorder="1" applyAlignment="1" applyProtection="1">
      <alignment horizontal="right" shrinkToFit="1"/>
      <protection locked="0"/>
    </xf>
    <xf numFmtId="0" fontId="5" fillId="0" borderId="191" xfId="2" applyNumberFormat="1" applyFont="1" applyFill="1" applyBorder="1" applyAlignment="1" applyProtection="1">
      <alignment horizontal="right" shrinkToFit="1"/>
      <protection locked="0"/>
    </xf>
    <xf numFmtId="216" fontId="5" fillId="0" borderId="188" xfId="2" applyNumberFormat="1" applyFont="1" applyFill="1" applyBorder="1" applyAlignment="1" applyProtection="1">
      <alignment shrinkToFit="1"/>
      <protection locked="0"/>
    </xf>
    <xf numFmtId="0" fontId="5" fillId="0" borderId="128" xfId="2" applyNumberFormat="1" applyFont="1" applyFill="1" applyBorder="1" applyAlignment="1" applyProtection="1">
      <alignment horizontal="right" shrinkToFit="1"/>
      <protection locked="0"/>
    </xf>
    <xf numFmtId="183" fontId="5" fillId="0" borderId="191" xfId="2" applyNumberFormat="1" applyFont="1" applyFill="1" applyBorder="1" applyAlignment="1" applyProtection="1">
      <alignment horizontal="right" shrinkToFit="1"/>
      <protection locked="0"/>
    </xf>
    <xf numFmtId="0" fontId="5" fillId="0" borderId="0" xfId="2" applyNumberFormat="1" applyFont="1" applyFill="1" applyBorder="1" applyAlignment="1" applyProtection="1">
      <alignment horizontal="right" shrinkToFit="1"/>
      <protection locked="0"/>
    </xf>
    <xf numFmtId="207" fontId="5" fillId="0" borderId="0" xfId="2" applyNumberFormat="1" applyFont="1" applyFill="1" applyBorder="1" applyAlignment="1" applyProtection="1">
      <alignment vertical="center" shrinkToFit="1"/>
      <protection locked="0"/>
    </xf>
    <xf numFmtId="0" fontId="5" fillId="0" borderId="79" xfId="2" applyFont="1" applyFill="1" applyBorder="1" applyAlignment="1" applyProtection="1">
      <alignment horizontal="left" indent="1"/>
    </xf>
    <xf numFmtId="0" fontId="5" fillId="0" borderId="79" xfId="2" applyNumberFormat="1" applyFont="1" applyFill="1" applyBorder="1" applyAlignment="1" applyProtection="1">
      <alignment horizontal="left" shrinkToFit="1"/>
    </xf>
    <xf numFmtId="217" fontId="5" fillId="0" borderId="79" xfId="2" applyNumberFormat="1" applyFont="1" applyFill="1" applyBorder="1" applyAlignment="1" applyProtection="1">
      <alignment shrinkToFit="1"/>
      <protection locked="0"/>
    </xf>
    <xf numFmtId="218" fontId="5" fillId="0" borderId="79" xfId="12" applyNumberFormat="1" applyFont="1" applyFill="1" applyBorder="1" applyAlignment="1" applyProtection="1">
      <alignment horizontal="center" shrinkToFit="1"/>
    </xf>
    <xf numFmtId="0" fontId="5" fillId="0" borderId="79" xfId="12" applyNumberFormat="1" applyFont="1" applyFill="1" applyBorder="1" applyAlignment="1" applyProtection="1">
      <alignment horizontal="left" shrinkToFit="1"/>
    </xf>
    <xf numFmtId="0" fontId="5" fillId="0" borderId="200" xfId="2" applyNumberFormat="1" applyFont="1" applyFill="1" applyBorder="1" applyAlignment="1" applyProtection="1">
      <alignment horizontal="right" shrinkToFit="1"/>
      <protection locked="0"/>
    </xf>
    <xf numFmtId="0" fontId="5" fillId="0" borderId="202" xfId="2" applyNumberFormat="1" applyFont="1" applyFill="1" applyBorder="1" applyAlignment="1" applyProtection="1">
      <alignment horizontal="right" shrinkToFit="1"/>
      <protection locked="0"/>
    </xf>
    <xf numFmtId="219" fontId="5" fillId="0" borderId="79" xfId="2" applyNumberFormat="1" applyFont="1" applyFill="1" applyBorder="1" applyAlignment="1" applyProtection="1">
      <alignment shrinkToFit="1"/>
      <protection locked="0"/>
    </xf>
    <xf numFmtId="0" fontId="5" fillId="0" borderId="68" xfId="2" applyNumberFormat="1" applyFont="1" applyFill="1" applyBorder="1" applyAlignment="1" applyProtection="1">
      <alignment horizontal="right" shrinkToFit="1"/>
      <protection locked="0"/>
    </xf>
    <xf numFmtId="183" fontId="5" fillId="0" borderId="202" xfId="2" applyNumberFormat="1" applyFont="1" applyFill="1" applyBorder="1" applyAlignment="1" applyProtection="1">
      <alignment horizontal="right" shrinkToFit="1"/>
      <protection locked="0"/>
    </xf>
    <xf numFmtId="193" fontId="5" fillId="0" borderId="0" xfId="12" applyNumberFormat="1" applyFont="1" applyFill="1" applyBorder="1" applyAlignment="1" applyProtection="1">
      <alignment horizontal="left" vertical="center"/>
    </xf>
    <xf numFmtId="2" fontId="18" fillId="0" borderId="0" xfId="2" applyNumberFormat="1" applyFont="1" applyFill="1" applyBorder="1" applyAlignment="1" applyProtection="1">
      <alignment vertical="center"/>
    </xf>
    <xf numFmtId="220" fontId="5" fillId="0" borderId="79" xfId="12" applyNumberFormat="1" applyFont="1" applyFill="1" applyBorder="1" applyAlignment="1" applyProtection="1">
      <alignment horizontal="center" shrinkToFit="1"/>
    </xf>
    <xf numFmtId="221" fontId="5" fillId="0" borderId="79" xfId="12" applyNumberFormat="1" applyFont="1" applyFill="1" applyBorder="1" applyAlignment="1" applyProtection="1">
      <alignment horizontal="left" shrinkToFit="1"/>
    </xf>
    <xf numFmtId="2" fontId="5" fillId="0" borderId="0" xfId="2" applyNumberFormat="1" applyFont="1" applyFill="1" applyBorder="1" applyAlignment="1" applyProtection="1">
      <alignment vertical="center"/>
      <protection locked="0"/>
    </xf>
    <xf numFmtId="0" fontId="5" fillId="3" borderId="96" xfId="2" applyFont="1" applyFill="1" applyBorder="1" applyAlignment="1" applyProtection="1">
      <alignment horizontal="center" vertical="center" shrinkToFit="1"/>
    </xf>
    <xf numFmtId="0" fontId="5" fillId="3" borderId="248" xfId="2" applyFont="1" applyFill="1" applyBorder="1" applyAlignment="1" applyProtection="1">
      <alignment horizontal="center" vertical="center" shrinkToFit="1"/>
    </xf>
    <xf numFmtId="3" fontId="5" fillId="3" borderId="22" xfId="12" applyNumberFormat="1" applyFont="1" applyFill="1" applyBorder="1" applyAlignment="1" applyProtection="1">
      <alignment horizontal="center" vertical="center"/>
    </xf>
    <xf numFmtId="3" fontId="5" fillId="3" borderId="249" xfId="12" applyNumberFormat="1" applyFont="1" applyFill="1" applyBorder="1" applyAlignment="1" applyProtection="1">
      <alignment horizontal="center" vertical="center"/>
    </xf>
    <xf numFmtId="3" fontId="5" fillId="3" borderId="250" xfId="12" applyNumberFormat="1" applyFont="1" applyFill="1" applyBorder="1" applyAlignment="1" applyProtection="1">
      <alignment horizontal="center" vertical="center" wrapText="1"/>
    </xf>
    <xf numFmtId="0" fontId="5" fillId="0" borderId="79" xfId="2" applyFont="1" applyFill="1" applyBorder="1" applyAlignment="1" applyProtection="1">
      <alignment horizontal="left" indent="1" shrinkToFit="1"/>
    </xf>
    <xf numFmtId="222" fontId="5" fillId="0" borderId="79" xfId="2" applyNumberFormat="1" applyFont="1" applyFill="1" applyBorder="1" applyAlignment="1" applyProtection="1">
      <alignment shrinkToFit="1"/>
      <protection locked="0"/>
    </xf>
    <xf numFmtId="220" fontId="5" fillId="0" borderId="79" xfId="2" applyNumberFormat="1" applyFont="1" applyFill="1" applyBorder="1" applyAlignment="1" applyProtection="1">
      <alignment horizontal="center"/>
    </xf>
    <xf numFmtId="0" fontId="5" fillId="0" borderId="79" xfId="2" applyNumberFormat="1" applyFont="1" applyFill="1" applyBorder="1" applyAlignment="1" applyProtection="1">
      <alignment horizontal="left" shrinkToFit="1"/>
      <protection locked="0"/>
    </xf>
    <xf numFmtId="223" fontId="5" fillId="0" borderId="79" xfId="2" applyNumberFormat="1" applyFont="1" applyFill="1" applyBorder="1" applyAlignment="1" applyProtection="1">
      <alignment shrinkToFit="1"/>
      <protection locked="0"/>
    </xf>
    <xf numFmtId="193" fontId="5" fillId="3" borderId="220" xfId="12" applyNumberFormat="1" applyFont="1" applyFill="1" applyBorder="1" applyAlignment="1" applyProtection="1">
      <alignment horizontal="center" vertical="center" wrapText="1" shrinkToFit="1"/>
    </xf>
    <xf numFmtId="193" fontId="5" fillId="3" borderId="12" xfId="12" applyNumberFormat="1" applyFont="1" applyFill="1" applyBorder="1" applyAlignment="1" applyProtection="1">
      <alignment horizontal="center" vertical="center" wrapText="1" shrinkToFit="1"/>
    </xf>
    <xf numFmtId="0" fontId="14" fillId="3" borderId="12" xfId="2" applyNumberFormat="1" applyFont="1" applyFill="1" applyBorder="1" applyAlignment="1" applyProtection="1">
      <alignment horizontal="center" vertical="center" wrapText="1"/>
      <protection locked="0"/>
    </xf>
    <xf numFmtId="0" fontId="5" fillId="3" borderId="12" xfId="2" applyNumberFormat="1" applyFont="1" applyFill="1" applyBorder="1" applyAlignment="1" applyProtection="1">
      <alignment horizontal="center" vertical="center" wrapText="1"/>
    </xf>
    <xf numFmtId="3" fontId="5" fillId="3" borderId="13" xfId="12" applyNumberFormat="1" applyFont="1" applyFill="1" applyBorder="1" applyAlignment="1" applyProtection="1">
      <alignment horizontal="center" vertical="center" wrapText="1"/>
    </xf>
    <xf numFmtId="0" fontId="5" fillId="0" borderId="251" xfId="2" applyFont="1" applyFill="1" applyBorder="1" applyAlignment="1" applyProtection="1">
      <alignment horizontal="left" indent="1" shrinkToFit="1"/>
    </xf>
    <xf numFmtId="0" fontId="5" fillId="0" borderId="252" xfId="2" applyFont="1" applyFill="1" applyBorder="1" applyAlignment="1" applyProtection="1">
      <alignment horizontal="left" indent="1" shrinkToFit="1"/>
    </xf>
    <xf numFmtId="220" fontId="5" fillId="0" borderId="20" xfId="2" applyNumberFormat="1" applyFont="1" applyFill="1" applyBorder="1" applyAlignment="1" applyProtection="1">
      <alignment horizontal="center"/>
    </xf>
    <xf numFmtId="0" fontId="5" fillId="0" borderId="0" xfId="2" applyNumberFormat="1" applyFont="1" applyFill="1" applyBorder="1" applyAlignment="1" applyProtection="1">
      <alignment horizontal="left" shrinkToFit="1"/>
      <protection locked="0"/>
    </xf>
    <xf numFmtId="0" fontId="5" fillId="0" borderId="253" xfId="2" applyNumberFormat="1" applyFont="1" applyFill="1" applyBorder="1" applyAlignment="1" applyProtection="1">
      <alignment horizontal="right" shrinkToFit="1"/>
      <protection locked="0"/>
    </xf>
    <xf numFmtId="193" fontId="5" fillId="0" borderId="0" xfId="12" applyNumberFormat="1" applyFont="1" applyFill="1" applyBorder="1" applyAlignment="1" applyProtection="1">
      <alignment horizontal="right" shrinkToFit="1"/>
    </xf>
    <xf numFmtId="0" fontId="5" fillId="0" borderId="254" xfId="2" applyNumberFormat="1" applyFont="1" applyFill="1" applyBorder="1" applyAlignment="1" applyProtection="1">
      <alignment horizontal="right" shrinkToFit="1"/>
      <protection locked="0"/>
    </xf>
    <xf numFmtId="193" fontId="5" fillId="0" borderId="255" xfId="12" applyNumberFormat="1" applyFont="1" applyFill="1" applyBorder="1" applyAlignment="1" applyProtection="1">
      <alignment horizontal="right" shrinkToFit="1"/>
    </xf>
    <xf numFmtId="183" fontId="5" fillId="0" borderId="253" xfId="2" applyNumberFormat="1" applyFont="1" applyFill="1" applyBorder="1" applyAlignment="1" applyProtection="1">
      <alignment horizontal="right" shrinkToFit="1"/>
      <protection locked="0"/>
    </xf>
    <xf numFmtId="0" fontId="5" fillId="0" borderId="40" xfId="2" applyNumberFormat="1" applyFont="1" applyFill="1" applyBorder="1" applyAlignment="1" applyProtection="1">
      <alignment horizontal="right" shrinkToFit="1"/>
      <protection locked="0"/>
    </xf>
    <xf numFmtId="183" fontId="5" fillId="0" borderId="254" xfId="2" applyNumberFormat="1" applyFont="1" applyFill="1" applyBorder="1" applyAlignment="1" applyProtection="1">
      <alignment horizontal="right" shrinkToFit="1"/>
      <protection locked="0"/>
    </xf>
    <xf numFmtId="193" fontId="5" fillId="0" borderId="256" xfId="12" applyNumberFormat="1" applyFont="1" applyFill="1" applyBorder="1" applyAlignment="1" applyProtection="1">
      <alignment horizontal="right" shrinkToFit="1"/>
    </xf>
    <xf numFmtId="202" fontId="5" fillId="14" borderId="156" xfId="2" applyNumberFormat="1" applyFont="1" applyFill="1" applyBorder="1" applyAlignment="1" applyProtection="1">
      <alignment horizontal="center" vertical="center" wrapText="1"/>
      <protection locked="0"/>
    </xf>
    <xf numFmtId="202" fontId="5" fillId="15" borderId="156" xfId="2" applyNumberFormat="1" applyFont="1" applyFill="1" applyBorder="1" applyAlignment="1" applyProtection="1">
      <alignment horizontal="center" vertical="center" wrapText="1"/>
      <protection locked="0"/>
    </xf>
    <xf numFmtId="202" fontId="18" fillId="19" borderId="156" xfId="2" applyNumberFormat="1" applyFont="1" applyFill="1" applyBorder="1" applyAlignment="1" applyProtection="1">
      <alignment horizontal="center" vertical="center" wrapText="1"/>
      <protection locked="0"/>
    </xf>
    <xf numFmtId="0" fontId="5" fillId="3" borderId="97" xfId="2" applyFont="1" applyFill="1" applyBorder="1" applyAlignment="1" applyProtection="1">
      <alignment horizontal="center" vertical="center" shrinkToFit="1"/>
    </xf>
    <xf numFmtId="0" fontId="5" fillId="3" borderId="49" xfId="2" applyFont="1" applyFill="1" applyBorder="1" applyAlignment="1" applyProtection="1">
      <alignment horizontal="center" vertical="center" shrinkToFit="1"/>
    </xf>
    <xf numFmtId="0" fontId="5" fillId="0" borderId="14" xfId="2" applyFont="1" applyFill="1" applyBorder="1" applyAlignment="1" applyProtection="1">
      <alignment horizontal="center" vertical="center" shrinkToFit="1"/>
    </xf>
    <xf numFmtId="0" fontId="5" fillId="0" borderId="15" xfId="2" applyFont="1" applyFill="1" applyBorder="1" applyAlignment="1" applyProtection="1">
      <alignment horizontal="center" vertical="center" shrinkToFit="1"/>
    </xf>
    <xf numFmtId="208" fontId="5" fillId="0" borderId="49" xfId="2" applyNumberFormat="1" applyFont="1" applyFill="1" applyBorder="1" applyAlignment="1" applyProtection="1">
      <alignment vertical="center"/>
    </xf>
    <xf numFmtId="208" fontId="5" fillId="0" borderId="15" xfId="2" applyNumberFormat="1" applyFont="1" applyFill="1" applyBorder="1" applyAlignment="1" applyProtection="1">
      <alignment vertical="center"/>
    </xf>
    <xf numFmtId="208" fontId="5" fillId="0" borderId="16" xfId="2" applyNumberFormat="1" applyFont="1" applyFill="1" applyBorder="1" applyAlignment="1" applyProtection="1">
      <alignment vertical="center"/>
    </xf>
    <xf numFmtId="0" fontId="5" fillId="18" borderId="246" xfId="2" applyFont="1" applyFill="1" applyBorder="1" applyAlignment="1" applyProtection="1">
      <alignment horizontal="center" vertical="center" textRotation="255" wrapText="1" shrinkToFit="1"/>
    </xf>
    <xf numFmtId="0" fontId="5" fillId="3" borderId="3" xfId="2" applyFont="1" applyFill="1" applyBorder="1" applyAlignment="1" applyProtection="1">
      <alignment horizontal="left"/>
    </xf>
    <xf numFmtId="0" fontId="5" fillId="3" borderId="3" xfId="2" applyFont="1" applyFill="1" applyBorder="1" applyProtection="1"/>
    <xf numFmtId="0" fontId="5" fillId="3" borderId="3" xfId="2" applyFont="1" applyFill="1" applyBorder="1" applyAlignment="1" applyProtection="1">
      <alignment horizontal="right"/>
    </xf>
    <xf numFmtId="0" fontId="5" fillId="3" borderId="3" xfId="2" applyFont="1" applyFill="1" applyBorder="1" applyAlignment="1" applyProtection="1">
      <alignment horizontal="left" vertical="center"/>
    </xf>
    <xf numFmtId="0" fontId="5" fillId="3" borderId="3" xfId="2" applyFont="1" applyFill="1" applyBorder="1" applyAlignment="1" applyProtection="1">
      <alignment vertical="center"/>
    </xf>
    <xf numFmtId="0" fontId="5" fillId="3" borderId="3" xfId="2" applyFont="1" applyFill="1" applyBorder="1" applyAlignment="1" applyProtection="1">
      <alignment horizontal="right" vertical="center"/>
    </xf>
    <xf numFmtId="0" fontId="5" fillId="18" borderId="58" xfId="2" applyFont="1" applyFill="1" applyBorder="1" applyAlignment="1" applyProtection="1">
      <alignment horizontal="center" vertical="center" textRotation="255" wrapText="1" shrinkToFit="1"/>
    </xf>
    <xf numFmtId="3" fontId="5" fillId="0" borderId="0" xfId="12" applyNumberFormat="1" applyFont="1" applyFill="1" applyBorder="1" applyAlignment="1" applyProtection="1">
      <alignment vertical="center" shrinkToFit="1"/>
    </xf>
    <xf numFmtId="0" fontId="5" fillId="0" borderId="11" xfId="2" applyFont="1" applyFill="1" applyBorder="1" applyAlignment="1" applyProtection="1">
      <alignment horizontal="center" vertical="center" shrinkToFit="1"/>
    </xf>
    <xf numFmtId="0" fontId="5" fillId="0" borderId="12" xfId="2" applyFont="1" applyFill="1" applyBorder="1" applyAlignment="1" applyProtection="1">
      <alignment horizontal="center" vertical="center" shrinkToFit="1"/>
    </xf>
    <xf numFmtId="208" fontId="5" fillId="0" borderId="220" xfId="2" applyNumberFormat="1" applyFont="1" applyFill="1" applyBorder="1" applyAlignment="1" applyProtection="1">
      <alignment vertical="center"/>
    </xf>
    <xf numFmtId="0" fontId="5" fillId="18" borderId="36" xfId="2" applyFont="1" applyFill="1" applyBorder="1" applyAlignment="1" applyProtection="1">
      <alignment horizontal="center" vertical="center" textRotation="255" wrapText="1" shrinkToFit="1"/>
    </xf>
    <xf numFmtId="200" fontId="5" fillId="0" borderId="0" xfId="2" applyNumberFormat="1" applyFont="1" applyFill="1" applyBorder="1" applyProtection="1"/>
    <xf numFmtId="220" fontId="5" fillId="0" borderId="0" xfId="2" applyNumberFormat="1" applyFont="1" applyFill="1" applyBorder="1" applyAlignment="1" applyProtection="1">
      <alignment horizontal="center"/>
    </xf>
    <xf numFmtId="0" fontId="5" fillId="0" borderId="0" xfId="2" applyFont="1" applyFill="1" applyBorder="1" applyAlignment="1" applyProtection="1">
      <alignment horizontal="left"/>
    </xf>
    <xf numFmtId="207" fontId="5" fillId="0" borderId="253" xfId="2" applyNumberFormat="1" applyFont="1" applyFill="1" applyBorder="1" applyAlignment="1" applyProtection="1">
      <alignment horizontal="right" shrinkToFit="1"/>
    </xf>
    <xf numFmtId="193" fontId="5" fillId="0" borderId="205" xfId="12" applyNumberFormat="1" applyFont="1" applyFill="1" applyBorder="1" applyAlignment="1" applyProtection="1">
      <alignment horizontal="right" shrinkToFit="1"/>
    </xf>
    <xf numFmtId="207" fontId="5" fillId="0" borderId="40" xfId="2" applyNumberFormat="1" applyFont="1" applyFill="1" applyBorder="1" applyAlignment="1" applyProtection="1">
      <alignment horizontal="right" shrinkToFit="1"/>
    </xf>
    <xf numFmtId="207" fontId="5" fillId="0" borderId="254" xfId="2" applyNumberFormat="1" applyFont="1" applyFill="1" applyBorder="1" applyAlignment="1" applyProtection="1">
      <alignment horizontal="right" shrinkToFit="1"/>
    </xf>
    <xf numFmtId="193" fontId="5" fillId="0" borderId="38" xfId="12" applyNumberFormat="1" applyFont="1" applyFill="1" applyBorder="1" applyAlignment="1" applyProtection="1">
      <alignment horizontal="right" shrinkToFit="1"/>
    </xf>
    <xf numFmtId="0" fontId="5" fillId="18" borderId="28" xfId="2" applyFont="1" applyFill="1" applyBorder="1" applyAlignment="1" applyProtection="1">
      <alignment horizontal="center" vertical="center" textRotation="255" wrapText="1" shrinkToFit="1"/>
    </xf>
    <xf numFmtId="183" fontId="5" fillId="0" borderId="253" xfId="2" applyNumberFormat="1" applyFont="1" applyFill="1" applyBorder="1" applyAlignment="1" applyProtection="1">
      <alignment horizontal="right" shrinkToFit="1"/>
    </xf>
    <xf numFmtId="183" fontId="5" fillId="0" borderId="40" xfId="2" applyNumberFormat="1" applyFont="1" applyFill="1" applyBorder="1" applyAlignment="1" applyProtection="1">
      <alignment horizontal="right" shrinkToFit="1"/>
    </xf>
    <xf numFmtId="207" fontId="5" fillId="0" borderId="0" xfId="2" applyNumberFormat="1" applyFont="1" applyFill="1" applyBorder="1" applyAlignment="1" applyProtection="1">
      <alignment horizontal="right" shrinkToFit="1"/>
    </xf>
    <xf numFmtId="177" fontId="5" fillId="0" borderId="226" xfId="2" applyNumberFormat="1" applyFont="1" applyFill="1" applyBorder="1" applyAlignment="1" applyProtection="1">
      <alignment horizontal="right" shrinkToFit="1"/>
    </xf>
    <xf numFmtId="3" fontId="5" fillId="0" borderId="257" xfId="12" applyNumberFormat="1" applyFont="1" applyFill="1" applyBorder="1" applyAlignment="1" applyProtection="1">
      <alignment horizontal="right" shrinkToFit="1"/>
    </xf>
    <xf numFmtId="177" fontId="5" fillId="0" borderId="258" xfId="2" applyNumberFormat="1" applyFont="1" applyFill="1" applyBorder="1" applyAlignment="1" applyProtection="1">
      <alignment horizontal="right" shrinkToFit="1"/>
    </xf>
    <xf numFmtId="3" fontId="5" fillId="0" borderId="223" xfId="12" applyNumberFormat="1" applyFont="1" applyFill="1" applyBorder="1" applyAlignment="1" applyProtection="1">
      <alignment horizontal="right" shrinkToFit="1"/>
    </xf>
    <xf numFmtId="177" fontId="5" fillId="0" borderId="227" xfId="2" applyNumberFormat="1" applyFont="1" applyFill="1" applyBorder="1" applyAlignment="1" applyProtection="1">
      <alignment horizontal="right" shrinkToFit="1"/>
    </xf>
    <xf numFmtId="3" fontId="5" fillId="0" borderId="259" xfId="12" applyNumberFormat="1" applyFont="1" applyFill="1" applyBorder="1" applyAlignment="1" applyProtection="1">
      <alignment horizontal="right" shrinkToFit="1"/>
    </xf>
    <xf numFmtId="183" fontId="5" fillId="0" borderId="258" xfId="2" applyNumberFormat="1" applyFont="1" applyFill="1" applyBorder="1" applyAlignment="1" applyProtection="1">
      <alignment horizontal="right" shrinkToFit="1"/>
    </xf>
    <xf numFmtId="3" fontId="5" fillId="0" borderId="260" xfId="12" applyNumberFormat="1" applyFont="1" applyFill="1" applyBorder="1" applyAlignment="1" applyProtection="1">
      <alignment horizontal="right" shrinkToFit="1"/>
    </xf>
    <xf numFmtId="0" fontId="5" fillId="18" borderId="261" xfId="2" applyFont="1" applyFill="1" applyBorder="1" applyAlignment="1" applyProtection="1">
      <alignment horizontal="center" vertical="center" textRotation="255" wrapText="1" shrinkToFit="1"/>
    </xf>
    <xf numFmtId="0" fontId="5" fillId="3" borderId="229" xfId="2" applyFont="1" applyFill="1" applyBorder="1" applyAlignment="1" applyProtection="1">
      <alignment horizontal="center" vertical="center"/>
      <protection locked="0"/>
    </xf>
    <xf numFmtId="0" fontId="5" fillId="3" borderId="232" xfId="2" applyFont="1" applyFill="1" applyBorder="1" applyAlignment="1" applyProtection="1">
      <alignment horizontal="center" vertical="center"/>
    </xf>
    <xf numFmtId="0" fontId="5" fillId="3" borderId="231" xfId="2" applyFont="1" applyFill="1" applyBorder="1" applyAlignment="1" applyProtection="1">
      <alignment horizontal="center" vertical="center"/>
    </xf>
    <xf numFmtId="0" fontId="5" fillId="3" borderId="232" xfId="2" applyFont="1" applyFill="1" applyBorder="1" applyAlignment="1" applyProtection="1">
      <alignment horizontal="center" vertical="center" wrapText="1"/>
    </xf>
    <xf numFmtId="0" fontId="5" fillId="3" borderId="235" xfId="2" applyFont="1" applyFill="1" applyBorder="1" applyAlignment="1" applyProtection="1">
      <alignment horizontal="center" vertical="center" wrapText="1"/>
    </xf>
    <xf numFmtId="177" fontId="5" fillId="3" borderId="231" xfId="2" applyNumberFormat="1" applyFont="1" applyFill="1" applyBorder="1" applyAlignment="1" applyProtection="1">
      <alignment horizontal="center" vertical="center" wrapText="1" shrinkToFit="1"/>
    </xf>
    <xf numFmtId="177" fontId="5" fillId="0" borderId="0" xfId="2" applyNumberFormat="1" applyFont="1" applyFill="1" applyBorder="1" applyAlignment="1" applyProtection="1">
      <alignment horizontal="center" wrapText="1" shrinkToFit="1"/>
    </xf>
    <xf numFmtId="177" fontId="5" fillId="0" borderId="0" xfId="2" applyNumberFormat="1" applyFont="1" applyFill="1" applyBorder="1" applyAlignment="1" applyProtection="1">
      <alignment vertical="center" shrinkToFit="1"/>
    </xf>
    <xf numFmtId="0" fontId="5" fillId="18" borderId="96" xfId="2" applyFont="1" applyFill="1" applyBorder="1" applyAlignment="1" applyProtection="1">
      <alignment horizontal="center" vertical="center" textRotation="255" wrapText="1" shrinkToFit="1"/>
    </xf>
    <xf numFmtId="0" fontId="5" fillId="0" borderId="188" xfId="2" applyFont="1" applyFill="1" applyBorder="1" applyAlignment="1" applyProtection="1">
      <alignment horizontal="center"/>
    </xf>
    <xf numFmtId="224" fontId="5" fillId="0" borderId="262" xfId="2" applyNumberFormat="1" applyFont="1" applyFill="1" applyBorder="1" applyProtection="1"/>
    <xf numFmtId="224" fontId="5" fillId="0" borderId="64" xfId="2" applyNumberFormat="1" applyFont="1" applyFill="1" applyBorder="1" applyProtection="1"/>
    <xf numFmtId="225" fontId="5" fillId="0" borderId="263" xfId="2" applyNumberFormat="1" applyFont="1" applyFill="1" applyBorder="1" applyAlignment="1" applyProtection="1">
      <alignment horizontal="right"/>
      <protection locked="0"/>
    </xf>
    <xf numFmtId="225" fontId="5" fillId="0" borderId="264" xfId="2" applyNumberFormat="1" applyFont="1" applyFill="1" applyBorder="1" applyAlignment="1" applyProtection="1">
      <alignment horizontal="right"/>
      <protection locked="0"/>
    </xf>
    <xf numFmtId="226" fontId="5" fillId="0" borderId="188" xfId="12" applyNumberFormat="1" applyFont="1" applyFill="1" applyBorder="1" applyAlignment="1" applyProtection="1">
      <alignment horizontal="right" shrinkToFit="1"/>
    </xf>
    <xf numFmtId="227" fontId="5" fillId="0" borderId="129" xfId="12" applyNumberFormat="1" applyFont="1" applyFill="1" applyBorder="1" applyAlignment="1" applyProtection="1">
      <alignment horizontal="right" shrinkToFit="1"/>
    </xf>
    <xf numFmtId="191" fontId="5" fillId="0" borderId="262" xfId="2" applyNumberFormat="1" applyFont="1" applyFill="1" applyBorder="1" applyProtection="1"/>
    <xf numFmtId="191" fontId="5" fillId="0" borderId="64" xfId="2" applyNumberFormat="1" applyFont="1" applyFill="1" applyBorder="1" applyProtection="1"/>
    <xf numFmtId="193" fontId="5" fillId="0" borderId="58" xfId="12" applyNumberFormat="1" applyFont="1" applyFill="1" applyBorder="1" applyAlignment="1" applyProtection="1">
      <alignment horizontal="center" vertical="center" shrinkToFit="1"/>
    </xf>
    <xf numFmtId="193" fontId="5" fillId="0" borderId="61" xfId="12" applyNumberFormat="1" applyFont="1" applyFill="1" applyBorder="1" applyAlignment="1" applyProtection="1">
      <alignment horizontal="center" vertical="center" shrinkToFit="1"/>
    </xf>
    <xf numFmtId="193" fontId="5" fillId="0" borderId="220" xfId="12" applyNumberFormat="1" applyFont="1" applyFill="1" applyBorder="1" applyAlignment="1" applyProtection="1">
      <alignment horizontal="center" vertical="center" shrinkToFit="1"/>
    </xf>
    <xf numFmtId="208" fontId="5" fillId="0" borderId="13" xfId="2" applyNumberFormat="1" applyFont="1" applyFill="1" applyBorder="1" applyAlignment="1" applyProtection="1">
      <alignment vertical="center"/>
      <protection locked="0"/>
    </xf>
    <xf numFmtId="0" fontId="5" fillId="0" borderId="79" xfId="2" applyFont="1" applyFill="1" applyBorder="1" applyAlignment="1" applyProtection="1">
      <alignment horizontal="center"/>
      <protection locked="0"/>
    </xf>
    <xf numFmtId="224" fontId="5" fillId="0" borderId="238" xfId="2" applyNumberFormat="1" applyFont="1" applyFill="1" applyBorder="1" applyProtection="1"/>
    <xf numFmtId="224" fontId="5" fillId="0" borderId="68" xfId="2" applyNumberFormat="1" applyFont="1" applyFill="1" applyBorder="1" applyProtection="1"/>
    <xf numFmtId="225" fontId="5" fillId="0" borderId="265" xfId="2" applyNumberFormat="1" applyFont="1" applyFill="1" applyBorder="1" applyAlignment="1" applyProtection="1">
      <alignment horizontal="right"/>
      <protection locked="0"/>
    </xf>
    <xf numFmtId="225" fontId="5" fillId="0" borderId="204" xfId="2" applyNumberFormat="1" applyFont="1" applyFill="1" applyBorder="1" applyAlignment="1" applyProtection="1">
      <alignment horizontal="right"/>
      <protection locked="0"/>
    </xf>
    <xf numFmtId="226" fontId="5" fillId="0" borderId="79" xfId="12" applyNumberFormat="1" applyFont="1" applyFill="1" applyBorder="1" applyAlignment="1" applyProtection="1">
      <alignment horizontal="right" shrinkToFit="1"/>
    </xf>
    <xf numFmtId="227" fontId="5" fillId="0" borderId="203" xfId="12" applyNumberFormat="1" applyFont="1" applyFill="1" applyBorder="1" applyAlignment="1" applyProtection="1">
      <alignment horizontal="right" shrinkToFit="1"/>
    </xf>
    <xf numFmtId="191" fontId="5" fillId="0" borderId="238" xfId="2" applyNumberFormat="1" applyFont="1" applyFill="1" applyBorder="1" applyProtection="1"/>
    <xf numFmtId="191" fontId="5" fillId="0" borderId="68" xfId="2" applyNumberFormat="1" applyFont="1" applyFill="1" applyBorder="1" applyProtection="1"/>
    <xf numFmtId="207" fontId="5" fillId="3" borderId="8" xfId="2" applyNumberFormat="1" applyFont="1" applyFill="1" applyBorder="1" applyAlignment="1" applyProtection="1">
      <alignment horizontal="center" vertical="center"/>
    </xf>
    <xf numFmtId="207" fontId="5" fillId="3" borderId="9" xfId="2" applyNumberFormat="1" applyFont="1" applyFill="1" applyBorder="1" applyAlignment="1" applyProtection="1">
      <alignment horizontal="center" vertical="center"/>
    </xf>
    <xf numFmtId="207" fontId="5" fillId="3" borderId="9" xfId="2" applyNumberFormat="1" applyFont="1" applyFill="1" applyBorder="1" applyAlignment="1" applyProtection="1">
      <alignment horizontal="center" vertical="center" wrapText="1"/>
    </xf>
    <xf numFmtId="207" fontId="5" fillId="3" borderId="10" xfId="2" applyNumberFormat="1" applyFont="1" applyFill="1" applyBorder="1" applyAlignment="1" applyProtection="1">
      <alignment horizontal="center" vertical="center"/>
    </xf>
    <xf numFmtId="0" fontId="5" fillId="18" borderId="266" xfId="2" applyFont="1" applyFill="1" applyBorder="1" applyAlignment="1" applyProtection="1">
      <alignment horizontal="center" vertical="center" textRotation="255" wrapText="1" shrinkToFit="1"/>
    </xf>
    <xf numFmtId="207" fontId="5" fillId="3" borderId="11" xfId="2" applyNumberFormat="1" applyFont="1" applyFill="1" applyBorder="1" applyAlignment="1" applyProtection="1">
      <alignment horizontal="center" vertical="center"/>
    </xf>
    <xf numFmtId="207" fontId="5" fillId="3" borderId="12" xfId="2" applyNumberFormat="1" applyFont="1" applyFill="1" applyBorder="1" applyAlignment="1" applyProtection="1">
      <alignment horizontal="center" vertical="center"/>
    </xf>
    <xf numFmtId="207" fontId="5" fillId="3" borderId="13" xfId="2" applyNumberFormat="1" applyFont="1" applyFill="1" applyBorder="1" applyAlignment="1" applyProtection="1">
      <alignment horizontal="center" vertical="center"/>
    </xf>
    <xf numFmtId="207" fontId="5" fillId="0" borderId="0" xfId="2" applyNumberFormat="1" applyFont="1" applyFill="1" applyBorder="1" applyAlignment="1" applyProtection="1">
      <alignment vertical="center"/>
    </xf>
    <xf numFmtId="228" fontId="5" fillId="0" borderId="0" xfId="12" applyNumberFormat="1" applyFont="1" applyFill="1" applyBorder="1" applyAlignment="1" applyProtection="1">
      <alignment vertical="center"/>
    </xf>
    <xf numFmtId="0" fontId="5" fillId="3" borderId="3" xfId="2" applyFont="1" applyFill="1" applyBorder="1" applyAlignment="1" applyProtection="1">
      <alignment horizontal="center" vertical="center"/>
    </xf>
    <xf numFmtId="0" fontId="5" fillId="3" borderId="235" xfId="2" applyFont="1" applyFill="1" applyBorder="1" applyAlignment="1" applyProtection="1">
      <alignment horizontal="center" vertical="center"/>
    </xf>
    <xf numFmtId="0" fontId="5" fillId="3" borderId="3" xfId="2" applyFont="1" applyFill="1" applyBorder="1" applyAlignment="1" applyProtection="1">
      <alignment horizontal="center"/>
    </xf>
    <xf numFmtId="0" fontId="5" fillId="3" borderId="235" xfId="2" applyFont="1" applyFill="1" applyBorder="1" applyAlignment="1" applyProtection="1">
      <alignment horizontal="center"/>
    </xf>
    <xf numFmtId="207" fontId="5" fillId="0" borderId="96" xfId="2" applyNumberFormat="1" applyFont="1" applyFill="1" applyBorder="1" applyAlignment="1" applyProtection="1">
      <alignment horizontal="center" vertical="center"/>
    </xf>
    <xf numFmtId="207" fontId="5" fillId="0" borderId="248" xfId="2" applyNumberFormat="1" applyFont="1" applyFill="1" applyBorder="1" applyAlignment="1" applyProtection="1">
      <alignment horizontal="center" vertical="center"/>
    </xf>
    <xf numFmtId="207" fontId="5" fillId="0" borderId="48" xfId="2" applyNumberFormat="1" applyFont="1" applyFill="1" applyBorder="1" applyAlignment="1" applyProtection="1">
      <alignment vertical="center" shrinkToFit="1"/>
    </xf>
    <xf numFmtId="207" fontId="5" fillId="0" borderId="267" xfId="2" applyNumberFormat="1" applyFont="1" applyFill="1" applyBorder="1" applyAlignment="1" applyProtection="1">
      <alignment vertical="center" shrinkToFit="1"/>
    </xf>
    <xf numFmtId="0" fontId="5" fillId="0" borderId="268" xfId="2" applyFont="1" applyFill="1" applyBorder="1" applyAlignment="1" applyProtection="1">
      <alignment horizontal="left" indent="1"/>
    </xf>
    <xf numFmtId="224" fontId="5" fillId="0" borderId="77" xfId="2" applyNumberFormat="1" applyFont="1" applyFill="1" applyBorder="1" applyProtection="1"/>
    <xf numFmtId="229" fontId="5" fillId="0" borderId="77" xfId="2" applyNumberFormat="1" applyFont="1" applyFill="1" applyBorder="1" applyAlignment="1" applyProtection="1">
      <alignment horizontal="right"/>
      <protection locked="0"/>
    </xf>
    <xf numFmtId="229" fontId="5" fillId="0" borderId="264" xfId="2" applyNumberFormat="1" applyFont="1" applyFill="1" applyBorder="1" applyAlignment="1" applyProtection="1">
      <alignment horizontal="right"/>
      <protection locked="0"/>
    </xf>
    <xf numFmtId="0" fontId="5" fillId="0" borderId="268" xfId="2" applyFont="1" applyFill="1" applyBorder="1" applyAlignment="1" applyProtection="1"/>
    <xf numFmtId="207" fontId="5" fillId="0" borderId="97" xfId="2" applyNumberFormat="1" applyFont="1" applyFill="1" applyBorder="1" applyAlignment="1" applyProtection="1">
      <alignment horizontal="center" vertical="center"/>
    </xf>
    <xf numFmtId="207" fontId="5" fillId="0" borderId="49" xfId="2" applyNumberFormat="1" applyFont="1" applyFill="1" applyBorder="1" applyAlignment="1" applyProtection="1">
      <alignment horizontal="center" vertical="center"/>
    </xf>
    <xf numFmtId="207" fontId="5" fillId="0" borderId="15" xfId="2" applyNumberFormat="1" applyFont="1" applyFill="1" applyBorder="1" applyAlignment="1" applyProtection="1">
      <alignment vertical="center" shrinkToFit="1"/>
    </xf>
    <xf numFmtId="207" fontId="5" fillId="0" borderId="16" xfId="2" applyNumberFormat="1" applyFont="1" applyFill="1" applyBorder="1" applyAlignment="1" applyProtection="1">
      <alignment vertical="center" shrinkToFit="1"/>
    </xf>
    <xf numFmtId="0" fontId="5" fillId="0" borderId="251" xfId="2" applyFont="1" applyFill="1" applyBorder="1" applyAlignment="1" applyProtection="1">
      <alignment horizontal="left" indent="1"/>
      <protection locked="0"/>
    </xf>
    <xf numFmtId="0" fontId="5" fillId="0" borderId="252" xfId="2" applyFont="1" applyFill="1" applyBorder="1" applyAlignment="1" applyProtection="1">
      <alignment horizontal="center" shrinkToFit="1"/>
    </xf>
    <xf numFmtId="0" fontId="5" fillId="0" borderId="269" xfId="2" applyFont="1" applyFill="1" applyBorder="1" applyAlignment="1" applyProtection="1">
      <alignment horizontal="center" shrinkToFit="1"/>
    </xf>
    <xf numFmtId="227" fontId="5" fillId="0" borderId="79" xfId="12" applyNumberFormat="1" applyFont="1" applyFill="1" applyBorder="1" applyAlignment="1" applyProtection="1">
      <alignment horizontal="right" shrinkToFit="1"/>
    </xf>
    <xf numFmtId="227" fontId="5" fillId="0" borderId="239" xfId="2" applyNumberFormat="1" applyFont="1" applyFill="1" applyBorder="1" applyAlignment="1" applyProtection="1">
      <alignment horizontal="right" shrinkToFit="1"/>
      <protection locked="0"/>
    </xf>
    <xf numFmtId="0" fontId="5" fillId="0" borderId="251" xfId="2" applyFont="1" applyFill="1" applyBorder="1" applyAlignment="1" applyProtection="1">
      <protection locked="0"/>
    </xf>
    <xf numFmtId="202" fontId="5" fillId="13" borderId="270" xfId="2" applyNumberFormat="1" applyFont="1" applyFill="1" applyBorder="1" applyAlignment="1" applyProtection="1">
      <alignment horizontal="center" vertical="center" wrapText="1"/>
      <protection locked="0"/>
    </xf>
    <xf numFmtId="202" fontId="5" fillId="13" borderId="146" xfId="2" applyNumberFormat="1" applyFont="1" applyFill="1" applyBorder="1" applyAlignment="1" applyProtection="1">
      <alignment horizontal="center" vertical="center" wrapText="1"/>
      <protection locked="0"/>
    </xf>
    <xf numFmtId="202" fontId="5" fillId="14" borderId="271" xfId="2" applyNumberFormat="1" applyFont="1" applyFill="1" applyBorder="1" applyAlignment="1" applyProtection="1">
      <alignment horizontal="center" vertical="center" wrapText="1"/>
      <protection locked="0"/>
    </xf>
    <xf numFmtId="202" fontId="5" fillId="14" borderId="146" xfId="2" applyNumberFormat="1" applyFont="1" applyFill="1" applyBorder="1" applyAlignment="1" applyProtection="1">
      <alignment horizontal="center" vertical="center" wrapText="1"/>
      <protection locked="0"/>
    </xf>
    <xf numFmtId="202" fontId="5" fillId="15" borderId="271" xfId="2" applyNumberFormat="1" applyFont="1" applyFill="1" applyBorder="1" applyAlignment="1" applyProtection="1">
      <alignment horizontal="center" vertical="center" wrapText="1"/>
      <protection locked="0"/>
    </xf>
    <xf numFmtId="202" fontId="5" fillId="15" borderId="146" xfId="2" applyNumberFormat="1" applyFont="1" applyFill="1" applyBorder="1" applyAlignment="1" applyProtection="1">
      <alignment horizontal="center" vertical="center" wrapText="1"/>
      <protection locked="0"/>
    </xf>
    <xf numFmtId="202" fontId="18" fillId="19" borderId="271" xfId="2" applyNumberFormat="1" applyFont="1" applyFill="1" applyBorder="1" applyAlignment="1" applyProtection="1">
      <alignment horizontal="center" vertical="center" wrapText="1"/>
      <protection locked="0"/>
    </xf>
    <xf numFmtId="202" fontId="18" fillId="19" borderId="146" xfId="2" applyNumberFormat="1" applyFont="1" applyFill="1" applyBorder="1" applyAlignment="1" applyProtection="1">
      <alignment horizontal="center" vertical="center" wrapText="1"/>
      <protection locked="0"/>
    </xf>
    <xf numFmtId="202" fontId="18" fillId="19" borderId="127" xfId="2" applyNumberFormat="1" applyFont="1" applyFill="1" applyBorder="1" applyAlignment="1" applyProtection="1">
      <alignment horizontal="center" vertical="center" wrapText="1"/>
      <protection locked="0"/>
    </xf>
    <xf numFmtId="181" fontId="5" fillId="0" borderId="0" xfId="2" applyNumberFormat="1" applyFont="1" applyFill="1" applyBorder="1" applyAlignment="1" applyProtection="1">
      <alignment vertical="center"/>
      <protection locked="0"/>
    </xf>
    <xf numFmtId="207" fontId="5" fillId="0" borderId="272" xfId="2" applyNumberFormat="1" applyFont="1" applyFill="1" applyBorder="1" applyAlignment="1" applyProtection="1">
      <alignment horizontal="center" vertical="center"/>
    </xf>
    <xf numFmtId="207" fontId="5" fillId="0" borderId="273" xfId="2" applyNumberFormat="1" applyFont="1" applyFill="1" applyBorder="1" applyAlignment="1" applyProtection="1">
      <alignment horizontal="center" vertical="center"/>
    </xf>
    <xf numFmtId="207" fontId="5" fillId="0" borderId="50" xfId="2" applyNumberFormat="1" applyFont="1" applyFill="1" applyBorder="1" applyAlignment="1" applyProtection="1">
      <alignment vertical="center" shrinkToFit="1"/>
    </xf>
    <xf numFmtId="207" fontId="5" fillId="0" borderId="274" xfId="2" applyNumberFormat="1" applyFont="1" applyFill="1" applyBorder="1" applyAlignment="1" applyProtection="1">
      <alignment vertical="center" shrinkToFit="1"/>
    </xf>
    <xf numFmtId="3" fontId="5" fillId="0" borderId="132" xfId="12" applyNumberFormat="1" applyFont="1" applyFill="1" applyBorder="1" applyAlignment="1" applyProtection="1">
      <alignment shrinkToFit="1"/>
    </xf>
    <xf numFmtId="0" fontId="5" fillId="18" borderId="275" xfId="2" applyFont="1" applyFill="1" applyBorder="1" applyAlignment="1" applyProtection="1">
      <alignment horizontal="center" vertical="center" textRotation="255" wrapText="1" shrinkToFit="1"/>
    </xf>
    <xf numFmtId="0" fontId="5" fillId="18" borderId="276" xfId="2" applyFont="1" applyFill="1" applyBorder="1" applyAlignment="1" applyProtection="1">
      <alignment horizontal="center" vertical="center" textRotation="255" wrapText="1" shrinkToFit="1"/>
    </xf>
    <xf numFmtId="207" fontId="5" fillId="0" borderId="15" xfId="2" applyNumberFormat="1" applyFont="1" applyFill="1" applyBorder="1" applyAlignment="1" applyProtection="1">
      <alignment vertical="center" shrinkToFit="1"/>
      <protection locked="0"/>
    </xf>
    <xf numFmtId="230" fontId="5" fillId="0" borderId="0" xfId="12" applyNumberFormat="1" applyFont="1" applyFill="1" applyBorder="1" applyAlignment="1" applyProtection="1">
      <alignment vertical="center"/>
    </xf>
    <xf numFmtId="207" fontId="5" fillId="0" borderId="0" xfId="2" applyNumberFormat="1" applyFont="1" applyFill="1" applyBorder="1" applyAlignment="1" applyProtection="1">
      <alignment vertical="center" shrinkToFit="1"/>
    </xf>
    <xf numFmtId="193" fontId="5" fillId="0" borderId="132" xfId="12" applyNumberFormat="1" applyFont="1" applyFill="1" applyBorder="1" applyAlignment="1" applyProtection="1">
      <alignment shrinkToFit="1"/>
    </xf>
    <xf numFmtId="0" fontId="5" fillId="0" borderId="277" xfId="2" applyFont="1" applyFill="1" applyBorder="1" applyAlignment="1" applyProtection="1">
      <alignment horizontal="left" indent="1"/>
    </xf>
    <xf numFmtId="0" fontId="5" fillId="0" borderId="278" xfId="2" applyFont="1" applyFill="1" applyBorder="1" applyProtection="1"/>
    <xf numFmtId="0" fontId="5" fillId="0" borderId="278" xfId="2" applyFont="1" applyFill="1" applyBorder="1" applyAlignment="1" applyProtection="1">
      <alignment horizontal="right"/>
    </xf>
    <xf numFmtId="177" fontId="5" fillId="0" borderId="279" xfId="2" applyNumberFormat="1" applyFont="1" applyFill="1" applyBorder="1" applyAlignment="1" applyProtection="1">
      <alignment horizontal="right" shrinkToFit="1"/>
    </xf>
    <xf numFmtId="3" fontId="5" fillId="0" borderId="278" xfId="12" applyNumberFormat="1" applyFont="1" applyFill="1" applyBorder="1" applyAlignment="1" applyProtection="1">
      <alignment horizontal="right" shrinkToFit="1"/>
    </xf>
    <xf numFmtId="177" fontId="5" fillId="0" borderId="280" xfId="2" applyNumberFormat="1" applyFont="1" applyFill="1" applyBorder="1" applyAlignment="1" applyProtection="1">
      <alignment horizontal="right" shrinkToFit="1"/>
    </xf>
    <xf numFmtId="3" fontId="5" fillId="0" borderId="281" xfId="12" applyNumberFormat="1" applyFont="1" applyFill="1" applyBorder="1" applyAlignment="1" applyProtection="1">
      <alignment horizontal="right" shrinkToFit="1"/>
    </xf>
    <xf numFmtId="183" fontId="5" fillId="0" borderId="279" xfId="2" applyNumberFormat="1" applyFont="1" applyFill="1" applyBorder="1" applyAlignment="1" applyProtection="1">
      <alignment horizontal="right" shrinkToFit="1"/>
    </xf>
    <xf numFmtId="177" fontId="5" fillId="0" borderId="282" xfId="2" applyNumberFormat="1" applyFont="1" applyFill="1" applyBorder="1" applyAlignment="1" applyProtection="1">
      <alignment horizontal="right" shrinkToFit="1"/>
    </xf>
    <xf numFmtId="183" fontId="5" fillId="0" borderId="280" xfId="2" applyNumberFormat="1" applyFont="1" applyFill="1" applyBorder="1" applyAlignment="1" applyProtection="1">
      <alignment horizontal="right" shrinkToFit="1"/>
    </xf>
    <xf numFmtId="3" fontId="5" fillId="0" borderId="283" xfId="12" applyNumberFormat="1" applyFont="1" applyFill="1" applyBorder="1" applyAlignment="1" applyProtection="1">
      <alignment horizontal="right" shrinkToFit="1"/>
    </xf>
    <xf numFmtId="0" fontId="5" fillId="0" borderId="284" xfId="2" applyNumberFormat="1" applyFont="1" applyFill="1" applyBorder="1" applyAlignment="1" applyProtection="1">
      <alignment vertical="center"/>
    </xf>
    <xf numFmtId="0" fontId="5" fillId="0" borderId="284" xfId="2" applyNumberFormat="1" applyFont="1" applyFill="1" applyBorder="1" applyAlignment="1" applyProtection="1">
      <alignment vertical="center"/>
      <protection locked="0"/>
    </xf>
    <xf numFmtId="0" fontId="5" fillId="0" borderId="284" xfId="12" applyNumberFormat="1" applyFont="1" applyFill="1" applyBorder="1" applyAlignment="1" applyProtection="1">
      <alignment vertical="center"/>
    </xf>
    <xf numFmtId="3" fontId="18" fillId="0" borderId="0" xfId="12" applyNumberFormat="1" applyFont="1" applyFill="1" applyBorder="1" applyAlignment="1" applyProtection="1">
      <alignment vertical="center"/>
    </xf>
    <xf numFmtId="0" fontId="5" fillId="0" borderId="285" xfId="2" applyFont="1" applyFill="1" applyBorder="1" applyAlignment="1" applyProtection="1">
      <alignment horizontal="left" indent="1"/>
    </xf>
    <xf numFmtId="0" fontId="5" fillId="0" borderId="286" xfId="2" applyFont="1" applyFill="1" applyBorder="1" applyProtection="1"/>
    <xf numFmtId="0" fontId="5" fillId="0" borderId="286" xfId="2" applyFont="1" applyFill="1" applyBorder="1" applyAlignment="1" applyProtection="1">
      <alignment horizontal="right"/>
    </xf>
    <xf numFmtId="2" fontId="5" fillId="0" borderId="287" xfId="2" applyNumberFormat="1" applyFont="1" applyFill="1" applyBorder="1" applyAlignment="1" applyProtection="1">
      <alignment horizontal="centerContinuous" shrinkToFit="1"/>
    </xf>
    <xf numFmtId="230" fontId="5" fillId="0" borderId="286" xfId="12" applyNumberFormat="1" applyFont="1" applyFill="1" applyBorder="1" applyAlignment="1" applyProtection="1">
      <alignment horizontal="centerContinuous" shrinkToFit="1"/>
    </xf>
    <xf numFmtId="2" fontId="5" fillId="0" borderId="288" xfId="2" applyNumberFormat="1" applyFont="1" applyFill="1" applyBorder="1" applyAlignment="1" applyProtection="1">
      <alignment horizontal="centerContinuous" shrinkToFit="1"/>
    </xf>
    <xf numFmtId="230" fontId="5" fillId="0" borderId="289" xfId="12" applyNumberFormat="1" applyFont="1" applyFill="1" applyBorder="1" applyAlignment="1" applyProtection="1">
      <alignment horizontal="centerContinuous" shrinkToFit="1"/>
    </xf>
    <xf numFmtId="2" fontId="5" fillId="0" borderId="286" xfId="2" applyNumberFormat="1" applyFont="1" applyFill="1" applyBorder="1" applyAlignment="1" applyProtection="1">
      <alignment horizontal="center"/>
    </xf>
    <xf numFmtId="2" fontId="5" fillId="0" borderId="290" xfId="2" applyNumberFormat="1" applyFont="1" applyFill="1" applyBorder="1" applyAlignment="1" applyProtection="1">
      <alignment horizontal="center"/>
    </xf>
    <xf numFmtId="230" fontId="5" fillId="0" borderId="132" xfId="12" applyNumberFormat="1" applyFont="1" applyFill="1" applyBorder="1" applyAlignment="1" applyProtection="1">
      <alignment horizontal="centerContinuous" shrinkToFit="1"/>
    </xf>
    <xf numFmtId="183" fontId="5" fillId="0" borderId="291" xfId="2" applyNumberFormat="1" applyFont="1" applyFill="1" applyBorder="1" applyAlignment="1" applyProtection="1">
      <alignment horizontal="centerContinuous" shrinkToFit="1"/>
    </xf>
    <xf numFmtId="2" fontId="5" fillId="0" borderId="286" xfId="2" applyNumberFormat="1" applyFont="1" applyFill="1" applyBorder="1" applyAlignment="1" applyProtection="1">
      <alignment horizontal="centerContinuous" shrinkToFit="1"/>
    </xf>
    <xf numFmtId="183" fontId="5" fillId="0" borderId="292" xfId="2" applyNumberFormat="1" applyFont="1" applyFill="1" applyBorder="1" applyAlignment="1" applyProtection="1">
      <alignment shrinkToFit="1"/>
    </xf>
    <xf numFmtId="2" fontId="5" fillId="0" borderId="293" xfId="2" applyNumberFormat="1" applyFont="1" applyFill="1" applyBorder="1" applyAlignment="1" applyProtection="1">
      <alignment horizontal="center" shrinkToFit="1"/>
    </xf>
    <xf numFmtId="2" fontId="5" fillId="0" borderId="294" xfId="2" applyNumberFormat="1" applyFont="1" applyFill="1" applyBorder="1" applyAlignment="1" applyProtection="1">
      <alignment horizontal="center" shrinkToFit="1"/>
    </xf>
    <xf numFmtId="230" fontId="5" fillId="0" borderId="0" xfId="12" applyNumberFormat="1" applyFont="1" applyFill="1" applyBorder="1" applyAlignment="1" applyProtection="1">
      <alignment vertical="center" shrinkToFit="1"/>
    </xf>
    <xf numFmtId="0" fontId="18" fillId="0" borderId="295" xfId="2" applyFont="1" applyFill="1" applyBorder="1" applyAlignment="1" applyProtection="1">
      <alignment horizontal="left" indent="1"/>
    </xf>
    <xf numFmtId="0" fontId="18" fillId="0" borderId="223" xfId="2" applyFont="1" applyFill="1" applyBorder="1" applyProtection="1"/>
    <xf numFmtId="2" fontId="18" fillId="0" borderId="223" xfId="2" applyNumberFormat="1" applyFont="1" applyFill="1" applyBorder="1" applyAlignment="1" applyProtection="1">
      <alignment horizontal="center"/>
    </xf>
    <xf numFmtId="230" fontId="18" fillId="0" borderId="223" xfId="2" applyNumberFormat="1" applyFont="1" applyFill="1" applyBorder="1" applyAlignment="1" applyProtection="1">
      <alignment horizontal="left"/>
    </xf>
    <xf numFmtId="2" fontId="18" fillId="0" borderId="296" xfId="2" applyNumberFormat="1" applyFont="1" applyFill="1" applyBorder="1" applyAlignment="1" applyProtection="1">
      <alignment horizontal="right" shrinkToFit="1"/>
    </xf>
    <xf numFmtId="3" fontId="18" fillId="0" borderId="297" xfId="12" applyNumberFormat="1" applyFont="1" applyFill="1" applyBorder="1" applyAlignment="1" applyProtection="1">
      <alignment horizontal="right" shrinkToFit="1"/>
    </xf>
    <xf numFmtId="2" fontId="18" fillId="0" borderId="298" xfId="2" applyNumberFormat="1" applyFont="1" applyFill="1" applyBorder="1" applyAlignment="1" applyProtection="1">
      <alignment horizontal="right" shrinkToFit="1"/>
    </xf>
    <xf numFmtId="2" fontId="18" fillId="0" borderId="298" xfId="2" applyNumberFormat="1" applyFont="1" applyFill="1" applyBorder="1" applyAlignment="1" applyProtection="1">
      <alignment shrinkToFit="1"/>
    </xf>
    <xf numFmtId="3" fontId="18" fillId="0" borderId="299" xfId="12" applyNumberFormat="1" applyFont="1" applyFill="1" applyBorder="1" applyAlignment="1" applyProtection="1">
      <alignment shrinkToFit="1"/>
    </xf>
    <xf numFmtId="2" fontId="18" fillId="0" borderId="223" xfId="2" applyNumberFormat="1" applyFont="1" applyFill="1" applyBorder="1" applyAlignment="1" applyProtection="1">
      <alignment shrinkToFit="1"/>
    </xf>
    <xf numFmtId="3" fontId="18" fillId="0" borderId="300" xfId="12" applyNumberFormat="1" applyFont="1" applyFill="1" applyBorder="1" applyAlignment="1" applyProtection="1">
      <alignment shrinkToFit="1"/>
    </xf>
    <xf numFmtId="3" fontId="18" fillId="0" borderId="132" xfId="12" applyNumberFormat="1" applyFont="1" applyFill="1" applyBorder="1" applyAlignment="1" applyProtection="1">
      <alignment shrinkToFit="1"/>
    </xf>
    <xf numFmtId="183" fontId="18" fillId="0" borderId="301" xfId="2" applyNumberFormat="1" applyFont="1" applyFill="1" applyBorder="1" applyAlignment="1" applyProtection="1">
      <alignment horizontal="right" shrinkToFit="1"/>
    </xf>
    <xf numFmtId="2" fontId="18" fillId="0" borderId="223" xfId="2" applyNumberFormat="1" applyFont="1" applyFill="1" applyBorder="1" applyAlignment="1" applyProtection="1">
      <alignment horizontal="right" shrinkToFit="1"/>
    </xf>
    <xf numFmtId="183" fontId="18" fillId="0" borderId="302" xfId="2" applyNumberFormat="1" applyFont="1" applyFill="1" applyBorder="1" applyAlignment="1" applyProtection="1">
      <alignment horizontal="right" shrinkToFit="1"/>
    </xf>
    <xf numFmtId="3" fontId="18" fillId="0" borderId="303" xfId="12" applyNumberFormat="1" applyFont="1" applyFill="1" applyBorder="1" applyAlignment="1" applyProtection="1">
      <alignment horizontal="right" shrinkToFit="1"/>
    </xf>
    <xf numFmtId="183" fontId="18" fillId="0" borderId="223" xfId="2" applyNumberFormat="1" applyFont="1" applyFill="1" applyBorder="1" applyAlignment="1" applyProtection="1">
      <alignment horizontal="right" shrinkToFit="1"/>
    </xf>
    <xf numFmtId="183" fontId="18" fillId="0" borderId="298" xfId="2" applyNumberFormat="1" applyFont="1" applyFill="1" applyBorder="1" applyAlignment="1" applyProtection="1">
      <alignment horizontal="right" shrinkToFit="1"/>
    </xf>
    <xf numFmtId="183" fontId="18" fillId="0" borderId="298" xfId="2" applyNumberFormat="1" applyFont="1" applyFill="1" applyBorder="1" applyAlignment="1" applyProtection="1">
      <alignment horizontal="center" shrinkToFit="1"/>
    </xf>
    <xf numFmtId="3" fontId="18" fillId="0" borderId="304" xfId="12" applyNumberFormat="1" applyFont="1" applyFill="1" applyBorder="1" applyAlignment="1" applyProtection="1">
      <alignment horizontal="right" shrinkToFit="1"/>
    </xf>
    <xf numFmtId="3" fontId="18" fillId="0" borderId="0" xfId="12" applyNumberFormat="1" applyFont="1" applyFill="1" applyBorder="1" applyAlignment="1" applyProtection="1">
      <alignment vertical="center" shrinkToFit="1"/>
    </xf>
    <xf numFmtId="0" fontId="5" fillId="18" borderId="305" xfId="2" applyFont="1" applyFill="1" applyBorder="1" applyAlignment="1" applyProtection="1">
      <alignment horizontal="center" vertical="center" textRotation="255" wrapText="1"/>
    </xf>
    <xf numFmtId="0" fontId="5" fillId="3" borderId="2" xfId="2" applyFont="1" applyFill="1" applyBorder="1" applyAlignment="1" applyProtection="1">
      <alignment horizontal="left" vertical="center"/>
    </xf>
    <xf numFmtId="3" fontId="5" fillId="3" borderId="3" xfId="12" applyNumberFormat="1" applyFont="1" applyFill="1" applyBorder="1" applyAlignment="1" applyProtection="1">
      <alignment horizontal="center" vertical="center" shrinkToFit="1"/>
    </xf>
    <xf numFmtId="3" fontId="5" fillId="3" borderId="306" xfId="12" applyNumberFormat="1" applyFont="1" applyFill="1" applyBorder="1" applyAlignment="1" applyProtection="1">
      <alignment vertical="center" shrinkToFit="1"/>
    </xf>
    <xf numFmtId="177" fontId="5" fillId="3" borderId="3" xfId="2" applyNumberFormat="1" applyFont="1" applyFill="1" applyBorder="1" applyAlignment="1" applyProtection="1">
      <alignment horizontal="center" vertical="center" shrinkToFit="1"/>
    </xf>
    <xf numFmtId="3" fontId="5" fillId="3" borderId="307" xfId="12" applyNumberFormat="1" applyFont="1" applyFill="1" applyBorder="1" applyAlignment="1" applyProtection="1">
      <alignment vertical="center" shrinkToFit="1"/>
    </xf>
    <xf numFmtId="183" fontId="5" fillId="3" borderId="247" xfId="2" applyNumberFormat="1" applyFont="1" applyFill="1" applyBorder="1" applyAlignment="1" applyProtection="1">
      <alignment horizontal="center" vertical="center" shrinkToFit="1"/>
    </xf>
    <xf numFmtId="3" fontId="5" fillId="3" borderId="235" xfId="12" applyNumberFormat="1" applyFont="1" applyFill="1" applyBorder="1" applyAlignment="1" applyProtection="1">
      <alignment horizontal="center" vertical="center" shrinkToFit="1"/>
    </xf>
    <xf numFmtId="183" fontId="5" fillId="3" borderId="231" xfId="2" applyNumberFormat="1" applyFont="1" applyFill="1" applyBorder="1" applyAlignment="1" applyProtection="1">
      <alignment horizontal="center" vertical="center" shrinkToFit="1"/>
    </xf>
    <xf numFmtId="3" fontId="5" fillId="3" borderId="4" xfId="12" applyNumberFormat="1" applyFont="1" applyFill="1" applyBorder="1" applyAlignment="1" applyProtection="1">
      <alignment horizontal="center" vertical="center" shrinkToFit="1"/>
    </xf>
    <xf numFmtId="0" fontId="5" fillId="18" borderId="36" xfId="2" applyFont="1" applyFill="1" applyBorder="1" applyAlignment="1" applyProtection="1">
      <alignment horizontal="center" vertical="center" textRotation="255" wrapText="1"/>
    </xf>
    <xf numFmtId="0" fontId="5" fillId="0" borderId="188" xfId="2" applyNumberFormat="1" applyFont="1" applyFill="1" applyBorder="1" applyAlignment="1" applyProtection="1">
      <alignment horizontal="left" shrinkToFit="1"/>
      <protection locked="0"/>
    </xf>
    <xf numFmtId="0" fontId="5" fillId="0" borderId="188" xfId="2" applyFont="1" applyFill="1" applyBorder="1" applyAlignment="1" applyProtection="1">
      <alignment horizontal="left" shrinkToFit="1"/>
    </xf>
    <xf numFmtId="0" fontId="5" fillId="0" borderId="191" xfId="2" applyNumberFormat="1" applyFont="1" applyFill="1" applyBorder="1" applyAlignment="1" applyProtection="1">
      <alignment shrinkToFit="1"/>
      <protection locked="0"/>
    </xf>
    <xf numFmtId="193" fontId="5" fillId="0" borderId="308" xfId="12" applyNumberFormat="1" applyFont="1" applyFill="1" applyBorder="1" applyAlignment="1" applyProtection="1">
      <alignment shrinkToFit="1"/>
    </xf>
    <xf numFmtId="0" fontId="5" fillId="0" borderId="128" xfId="2" applyNumberFormat="1" applyFont="1" applyFill="1" applyBorder="1" applyAlignment="1" applyProtection="1">
      <alignment shrinkToFit="1"/>
      <protection locked="0"/>
    </xf>
    <xf numFmtId="193" fontId="5" fillId="0" borderId="129" xfId="12" applyNumberFormat="1" applyFont="1" applyFill="1" applyBorder="1" applyAlignment="1" applyProtection="1">
      <alignment shrinkToFit="1"/>
    </xf>
    <xf numFmtId="183" fontId="5" fillId="13" borderId="309" xfId="2" applyNumberFormat="1" applyFont="1" applyFill="1" applyBorder="1" applyAlignment="1" applyProtection="1">
      <alignment horizontal="center" wrapText="1" shrinkToFit="1"/>
      <protection locked="0"/>
    </xf>
    <xf numFmtId="183" fontId="5" fillId="13" borderId="310" xfId="2" applyNumberFormat="1" applyFont="1" applyFill="1" applyBorder="1" applyAlignment="1" applyProtection="1">
      <alignment horizontal="center" wrapText="1" shrinkToFit="1"/>
      <protection locked="0"/>
    </xf>
    <xf numFmtId="183" fontId="5" fillId="14" borderId="197" xfId="2" applyNumberFormat="1" applyFont="1" applyFill="1" applyBorder="1" applyAlignment="1" applyProtection="1">
      <alignment horizontal="center" wrapText="1" shrinkToFit="1"/>
      <protection locked="0"/>
    </xf>
    <xf numFmtId="183" fontId="5" fillId="14" borderId="310" xfId="2" applyNumberFormat="1" applyFont="1" applyFill="1" applyBorder="1" applyAlignment="1" applyProtection="1">
      <alignment horizontal="center" wrapText="1" shrinkToFit="1"/>
      <protection locked="0"/>
    </xf>
    <xf numFmtId="183" fontId="5" fillId="15" borderId="197" xfId="2" applyNumberFormat="1" applyFont="1" applyFill="1" applyBorder="1" applyAlignment="1" applyProtection="1">
      <alignment horizontal="center" wrapText="1" shrinkToFit="1"/>
      <protection locked="0"/>
    </xf>
    <xf numFmtId="183" fontId="5" fillId="15" borderId="310" xfId="2" applyNumberFormat="1" applyFont="1" applyFill="1" applyBorder="1" applyAlignment="1" applyProtection="1">
      <alignment horizontal="center" wrapText="1" shrinkToFit="1"/>
      <protection locked="0"/>
    </xf>
    <xf numFmtId="183" fontId="18" fillId="19" borderId="197" xfId="2" applyNumberFormat="1" applyFont="1" applyFill="1" applyBorder="1" applyAlignment="1" applyProtection="1">
      <alignment horizontal="center" wrapText="1" shrinkToFit="1"/>
      <protection locked="0"/>
    </xf>
    <xf numFmtId="183" fontId="18" fillId="19" borderId="310" xfId="2" applyNumberFormat="1" applyFont="1" applyFill="1" applyBorder="1" applyAlignment="1" applyProtection="1">
      <alignment horizontal="center" wrapText="1" shrinkToFit="1"/>
      <protection locked="0"/>
    </xf>
    <xf numFmtId="183" fontId="18" fillId="19" borderId="125" xfId="2" applyNumberFormat="1" applyFont="1" applyFill="1" applyBorder="1" applyAlignment="1" applyProtection="1">
      <alignment horizontal="center" wrapText="1" shrinkToFit="1"/>
      <protection locked="0"/>
    </xf>
    <xf numFmtId="207" fontId="5" fillId="0" borderId="132" xfId="2" applyNumberFormat="1" applyFont="1" applyFill="1" applyBorder="1" applyAlignment="1" applyProtection="1">
      <alignment horizontal="right" shrinkToFit="1"/>
    </xf>
    <xf numFmtId="0" fontId="5" fillId="0" borderId="79" xfId="2" applyFont="1" applyFill="1" applyBorder="1" applyAlignment="1" applyProtection="1">
      <alignment shrinkToFit="1"/>
    </xf>
    <xf numFmtId="200" fontId="5" fillId="0" borderId="79" xfId="2" applyNumberFormat="1" applyFont="1" applyFill="1" applyBorder="1" applyProtection="1"/>
    <xf numFmtId="231" fontId="5" fillId="0" borderId="79" xfId="2" applyNumberFormat="1" applyFont="1" applyFill="1" applyBorder="1" applyAlignment="1" applyProtection="1">
      <alignment horizontal="center" shrinkToFit="1"/>
    </xf>
    <xf numFmtId="0" fontId="5" fillId="0" borderId="79" xfId="2" applyFont="1" applyFill="1" applyBorder="1" applyAlignment="1" applyProtection="1">
      <alignment horizontal="left" shrinkToFit="1"/>
      <protection locked="0"/>
    </xf>
    <xf numFmtId="232" fontId="5" fillId="0" borderId="200" xfId="2" applyNumberFormat="1" applyFont="1" applyFill="1" applyBorder="1" applyAlignment="1" applyProtection="1">
      <alignment horizontal="right" shrinkToFit="1"/>
      <protection locked="0"/>
    </xf>
    <xf numFmtId="232" fontId="5" fillId="0" borderId="202" xfId="2" applyNumberFormat="1" applyFont="1" applyFill="1" applyBorder="1" applyAlignment="1" applyProtection="1">
      <alignment horizontal="right" shrinkToFit="1"/>
      <protection locked="0"/>
    </xf>
    <xf numFmtId="232" fontId="5" fillId="0" borderId="202" xfId="2" applyNumberFormat="1" applyFont="1" applyFill="1" applyBorder="1" applyAlignment="1" applyProtection="1">
      <alignment shrinkToFit="1"/>
      <protection locked="0"/>
    </xf>
    <xf numFmtId="193" fontId="5" fillId="0" borderId="311" xfId="12" applyNumberFormat="1" applyFont="1" applyFill="1" applyBorder="1" applyAlignment="1" applyProtection="1">
      <alignment shrinkToFit="1"/>
    </xf>
    <xf numFmtId="232" fontId="5" fillId="0" borderId="68" xfId="2" applyNumberFormat="1" applyFont="1" applyFill="1" applyBorder="1" applyAlignment="1" applyProtection="1">
      <alignment shrinkToFit="1"/>
      <protection locked="0"/>
    </xf>
    <xf numFmtId="193" fontId="5" fillId="0" borderId="203" xfId="12" applyNumberFormat="1" applyFont="1" applyFill="1" applyBorder="1" applyAlignment="1" applyProtection="1">
      <alignment shrinkToFit="1"/>
    </xf>
    <xf numFmtId="233" fontId="5" fillId="0" borderId="68" xfId="2" applyNumberFormat="1" applyFont="1" applyFill="1" applyBorder="1" applyAlignment="1" applyProtection="1">
      <alignment horizontal="right" shrinkToFit="1"/>
      <protection locked="0"/>
    </xf>
    <xf numFmtId="183" fontId="5" fillId="13" borderId="178" xfId="2" applyNumberFormat="1" applyFont="1" applyFill="1" applyBorder="1" applyAlignment="1" applyProtection="1">
      <alignment horizontal="center" wrapText="1" shrinkToFit="1"/>
      <protection locked="0"/>
    </xf>
    <xf numFmtId="183" fontId="5" fillId="13" borderId="205" xfId="2" applyNumberFormat="1" applyFont="1" applyFill="1" applyBorder="1" applyAlignment="1" applyProtection="1">
      <alignment horizontal="center" wrapText="1" shrinkToFit="1"/>
      <protection locked="0"/>
    </xf>
    <xf numFmtId="183" fontId="5" fillId="14" borderId="156" xfId="2" applyNumberFormat="1" applyFont="1" applyFill="1" applyBorder="1" applyAlignment="1" applyProtection="1">
      <alignment horizontal="center" wrapText="1" shrinkToFit="1"/>
      <protection locked="0"/>
    </xf>
    <xf numFmtId="183" fontId="5" fillId="14" borderId="205" xfId="2" applyNumberFormat="1" applyFont="1" applyFill="1" applyBorder="1" applyAlignment="1" applyProtection="1">
      <alignment horizontal="center" wrapText="1" shrinkToFit="1"/>
      <protection locked="0"/>
    </xf>
    <xf numFmtId="183" fontId="5" fillId="15" borderId="156" xfId="2" applyNumberFormat="1" applyFont="1" applyFill="1" applyBorder="1" applyAlignment="1" applyProtection="1">
      <alignment horizontal="center" wrapText="1" shrinkToFit="1"/>
      <protection locked="0"/>
    </xf>
    <xf numFmtId="183" fontId="5" fillId="15" borderId="205" xfId="2" applyNumberFormat="1" applyFont="1" applyFill="1" applyBorder="1" applyAlignment="1" applyProtection="1">
      <alignment horizontal="center" wrapText="1" shrinkToFit="1"/>
      <protection locked="0"/>
    </xf>
    <xf numFmtId="183" fontId="18" fillId="19" borderId="156" xfId="2" applyNumberFormat="1" applyFont="1" applyFill="1" applyBorder="1" applyAlignment="1" applyProtection="1">
      <alignment horizontal="center" wrapText="1" shrinkToFit="1"/>
      <protection locked="0"/>
    </xf>
    <xf numFmtId="183" fontId="18" fillId="19" borderId="205" xfId="2" applyNumberFormat="1" applyFont="1" applyFill="1" applyBorder="1" applyAlignment="1" applyProtection="1">
      <alignment horizontal="center" wrapText="1" shrinkToFit="1"/>
      <protection locked="0"/>
    </xf>
    <xf numFmtId="183" fontId="18" fillId="19" borderId="38" xfId="2" applyNumberFormat="1" applyFont="1" applyFill="1" applyBorder="1" applyAlignment="1" applyProtection="1">
      <alignment horizontal="center" wrapText="1" shrinkToFit="1"/>
      <protection locked="0"/>
    </xf>
    <xf numFmtId="202" fontId="5" fillId="0" borderId="132" xfId="2" applyNumberFormat="1" applyFont="1" applyFill="1" applyBorder="1" applyAlignment="1" applyProtection="1"/>
    <xf numFmtId="0" fontId="5" fillId="18" borderId="116" xfId="2" applyFont="1" applyFill="1" applyBorder="1" applyAlignment="1" applyProtection="1">
      <alignment horizontal="center" vertical="center" textRotation="255" wrapText="1"/>
    </xf>
    <xf numFmtId="0" fontId="5" fillId="0" borderId="0" xfId="2" applyFont="1" applyFill="1" applyBorder="1" applyAlignment="1" applyProtection="1">
      <alignment shrinkToFit="1"/>
      <protection locked="0"/>
    </xf>
    <xf numFmtId="0" fontId="5" fillId="0" borderId="0" xfId="2" applyFont="1" applyFill="1" applyBorder="1" applyAlignment="1" applyProtection="1">
      <alignment horizontal="left" shrinkToFit="1"/>
    </xf>
    <xf numFmtId="0" fontId="5" fillId="0" borderId="254" xfId="2" applyNumberFormat="1" applyFont="1" applyFill="1" applyBorder="1" applyAlignment="1" applyProtection="1">
      <alignment shrinkToFit="1"/>
      <protection locked="0"/>
    </xf>
    <xf numFmtId="193" fontId="5" fillId="0" borderId="312" xfId="12" applyNumberFormat="1" applyFont="1" applyFill="1" applyBorder="1" applyAlignment="1" applyProtection="1">
      <alignment shrinkToFit="1"/>
    </xf>
    <xf numFmtId="0" fontId="5" fillId="0" borderId="40" xfId="2" applyNumberFormat="1" applyFont="1" applyFill="1" applyBorder="1" applyAlignment="1" applyProtection="1">
      <alignment shrinkToFit="1"/>
      <protection locked="0"/>
    </xf>
    <xf numFmtId="193" fontId="5" fillId="0" borderId="38" xfId="12" applyNumberFormat="1" applyFont="1" applyFill="1" applyBorder="1" applyAlignment="1" applyProtection="1">
      <alignment shrinkToFit="1"/>
    </xf>
    <xf numFmtId="2" fontId="5" fillId="3" borderId="8" xfId="2" applyNumberFormat="1" applyFont="1" applyFill="1" applyBorder="1" applyAlignment="1" applyProtection="1">
      <alignment horizontal="center" vertical="center"/>
    </xf>
    <xf numFmtId="2" fontId="5" fillId="3" borderId="9" xfId="2" applyNumberFormat="1" applyFont="1" applyFill="1" applyBorder="1" applyAlignment="1" applyProtection="1">
      <alignment horizontal="center" vertical="center" wrapText="1"/>
    </xf>
    <xf numFmtId="2" fontId="5" fillId="3" borderId="9" xfId="2" applyNumberFormat="1" applyFont="1" applyFill="1" applyBorder="1" applyAlignment="1" applyProtection="1">
      <alignment horizontal="center" vertical="center"/>
    </xf>
    <xf numFmtId="2" fontId="5" fillId="3" borderId="6" xfId="2" applyNumberFormat="1" applyFont="1" applyFill="1" applyBorder="1" applyAlignment="1" applyProtection="1">
      <alignment horizontal="center" vertical="center" wrapText="1"/>
    </xf>
    <xf numFmtId="2" fontId="5" fillId="3" borderId="7" xfId="2" applyNumberFormat="1" applyFont="1" applyFill="1" applyBorder="1" applyAlignment="1" applyProtection="1">
      <alignment horizontal="center" vertical="center" wrapText="1"/>
    </xf>
    <xf numFmtId="0" fontId="18" fillId="0" borderId="0" xfId="2" applyFont="1" applyFill="1" applyBorder="1" applyAlignment="1" applyProtection="1">
      <alignment vertical="center"/>
    </xf>
    <xf numFmtId="3" fontId="5" fillId="0" borderId="132" xfId="12" applyNumberFormat="1" applyFont="1" applyFill="1" applyBorder="1" applyAlignment="1" applyProtection="1">
      <alignment horizontal="center" shrinkToFit="1"/>
    </xf>
    <xf numFmtId="0" fontId="18" fillId="0" borderId="313" xfId="2" applyFont="1" applyFill="1" applyBorder="1" applyAlignment="1" applyProtection="1">
      <alignment horizontal="left" indent="1"/>
    </xf>
    <xf numFmtId="0" fontId="18" fillId="0" borderId="314" xfId="2" applyFont="1" applyFill="1" applyBorder="1" applyProtection="1"/>
    <xf numFmtId="0" fontId="18" fillId="0" borderId="315" xfId="2" applyFont="1" applyFill="1" applyBorder="1" applyProtection="1"/>
    <xf numFmtId="0" fontId="18" fillId="0" borderId="315" xfId="2" applyFont="1" applyFill="1" applyBorder="1" applyAlignment="1" applyProtection="1"/>
    <xf numFmtId="0" fontId="18" fillId="0" borderId="316" xfId="2" applyFont="1" applyFill="1" applyBorder="1" applyAlignment="1" applyProtection="1">
      <alignment horizontal="right" shrinkToFit="1"/>
    </xf>
    <xf numFmtId="3" fontId="18" fillId="0" borderId="315" xfId="12" applyNumberFormat="1" applyFont="1" applyFill="1" applyBorder="1" applyAlignment="1" applyProtection="1">
      <alignment horizontal="right" shrinkToFit="1"/>
    </xf>
    <xf numFmtId="0" fontId="18" fillId="0" borderId="317" xfId="2" applyFont="1" applyFill="1" applyBorder="1" applyAlignment="1" applyProtection="1">
      <alignment horizontal="right" shrinkToFit="1"/>
    </xf>
    <xf numFmtId="0" fontId="18" fillId="0" borderId="317" xfId="2" applyFont="1" applyFill="1" applyBorder="1" applyAlignment="1" applyProtection="1">
      <alignment shrinkToFit="1"/>
    </xf>
    <xf numFmtId="3" fontId="18" fillId="0" borderId="318" xfId="12" applyNumberFormat="1" applyFont="1" applyFill="1" applyBorder="1" applyAlignment="1" applyProtection="1">
      <alignment shrinkToFit="1"/>
    </xf>
    <xf numFmtId="0" fontId="18" fillId="0" borderId="319" xfId="2" applyFont="1" applyFill="1" applyBorder="1" applyAlignment="1" applyProtection="1">
      <alignment shrinkToFit="1"/>
    </xf>
    <xf numFmtId="3" fontId="18" fillId="0" borderId="320" xfId="12" applyNumberFormat="1" applyFont="1" applyFill="1" applyBorder="1" applyAlignment="1" applyProtection="1">
      <alignment shrinkToFit="1"/>
    </xf>
    <xf numFmtId="183" fontId="18" fillId="0" borderId="316" xfId="2" applyNumberFormat="1" applyFont="1" applyFill="1" applyBorder="1" applyAlignment="1" applyProtection="1">
      <alignment horizontal="right" shrinkToFit="1"/>
    </xf>
    <xf numFmtId="0" fontId="18" fillId="0" borderId="319" xfId="2" applyFont="1" applyFill="1" applyBorder="1" applyAlignment="1" applyProtection="1">
      <alignment horizontal="right" shrinkToFit="1"/>
    </xf>
    <xf numFmtId="183" fontId="18" fillId="0" borderId="317" xfId="2" applyNumberFormat="1" applyFont="1" applyFill="1" applyBorder="1" applyAlignment="1" applyProtection="1">
      <alignment horizontal="right" shrinkToFit="1"/>
    </xf>
    <xf numFmtId="3" fontId="18" fillId="0" borderId="321" xfId="12" applyNumberFormat="1" applyFont="1" applyFill="1" applyBorder="1" applyAlignment="1" applyProtection="1">
      <alignment horizontal="right" shrinkToFit="1"/>
    </xf>
    <xf numFmtId="183" fontId="5" fillId="0" borderId="316" xfId="2" applyNumberFormat="1" applyFont="1" applyFill="1" applyBorder="1" applyAlignment="1" applyProtection="1">
      <alignment horizontal="center" wrapText="1" shrinkToFit="1"/>
      <protection locked="0"/>
    </xf>
    <xf numFmtId="3" fontId="5" fillId="0" borderId="322" xfId="2" applyNumberFormat="1" applyFont="1" applyFill="1" applyBorder="1" applyAlignment="1" applyProtection="1">
      <alignment wrapText="1" shrinkToFit="1"/>
      <protection locked="0"/>
    </xf>
    <xf numFmtId="183" fontId="5" fillId="0" borderId="317" xfId="2" applyNumberFormat="1" applyFont="1" applyFill="1" applyBorder="1" applyAlignment="1" applyProtection="1">
      <alignment horizontal="center" wrapText="1" shrinkToFit="1"/>
      <protection locked="0"/>
    </xf>
    <xf numFmtId="183" fontId="18" fillId="0" borderId="317" xfId="2" applyNumberFormat="1" applyFont="1" applyFill="1" applyBorder="1" applyAlignment="1" applyProtection="1">
      <alignment horizontal="center" shrinkToFit="1"/>
      <protection locked="0"/>
    </xf>
    <xf numFmtId="3" fontId="18" fillId="0" borderId="322" xfId="2" applyNumberFormat="1" applyFont="1" applyFill="1" applyBorder="1" applyAlignment="1" applyProtection="1">
      <alignment wrapText="1" shrinkToFit="1"/>
      <protection locked="0"/>
    </xf>
    <xf numFmtId="3" fontId="18" fillId="0" borderId="320" xfId="2" applyNumberFormat="1" applyFont="1" applyFill="1" applyBorder="1" applyAlignment="1" applyProtection="1">
      <alignment wrapText="1" shrinkToFit="1"/>
      <protection locked="0"/>
    </xf>
    <xf numFmtId="2" fontId="5" fillId="3" borderId="323" xfId="2" applyNumberFormat="1" applyFont="1" applyFill="1" applyBorder="1" applyAlignment="1" applyProtection="1">
      <alignment horizontal="center" vertical="center"/>
    </xf>
    <xf numFmtId="2" fontId="5" fillId="3" borderId="50" xfId="2" applyNumberFormat="1" applyFont="1" applyFill="1" applyBorder="1" applyAlignment="1" applyProtection="1">
      <alignment horizontal="center" vertical="center"/>
    </xf>
    <xf numFmtId="2" fontId="5" fillId="3" borderId="15" xfId="2" applyNumberFormat="1" applyFont="1" applyFill="1" applyBorder="1" applyAlignment="1" applyProtection="1">
      <alignment horizontal="center" vertical="center" wrapText="1"/>
    </xf>
    <xf numFmtId="2" fontId="5" fillId="3" borderId="16" xfId="2" applyNumberFormat="1" applyFont="1" applyFill="1" applyBorder="1" applyAlignment="1" applyProtection="1">
      <alignment horizontal="center" vertical="center" wrapText="1"/>
    </xf>
    <xf numFmtId="1" fontId="18" fillId="0" borderId="0" xfId="2" applyNumberFormat="1" applyFont="1" applyFill="1" applyBorder="1" applyAlignment="1" applyProtection="1">
      <alignment vertical="center"/>
    </xf>
    <xf numFmtId="0" fontId="18" fillId="20" borderId="324" xfId="2" applyFont="1" applyFill="1" applyBorder="1" applyAlignment="1" applyProtection="1">
      <alignment horizontal="left" indent="1"/>
    </xf>
    <xf numFmtId="0" fontId="18" fillId="20" borderId="325" xfId="2" applyFont="1" applyFill="1" applyBorder="1" applyProtection="1"/>
    <xf numFmtId="0" fontId="18" fillId="20" borderId="326" xfId="2" applyFont="1" applyFill="1" applyBorder="1" applyProtection="1"/>
    <xf numFmtId="0" fontId="18" fillId="20" borderId="326" xfId="2" applyFont="1" applyFill="1" applyBorder="1" applyAlignment="1" applyProtection="1"/>
    <xf numFmtId="0" fontId="18" fillId="20" borderId="326" xfId="2" applyFont="1" applyFill="1" applyBorder="1" applyAlignment="1" applyProtection="1">
      <alignment horizontal="right"/>
    </xf>
    <xf numFmtId="1" fontId="18" fillId="20" borderId="327" xfId="2" applyNumberFormat="1" applyFont="1" applyFill="1" applyBorder="1" applyAlignment="1" applyProtection="1">
      <alignment horizontal="right" shrinkToFit="1"/>
    </xf>
    <xf numFmtId="3" fontId="18" fillId="20" borderId="326" xfId="12" applyNumberFormat="1" applyFont="1" applyFill="1" applyBorder="1" applyAlignment="1" applyProtection="1">
      <alignment horizontal="right" shrinkToFit="1"/>
    </xf>
    <xf numFmtId="1" fontId="18" fillId="20" borderId="328" xfId="2" applyNumberFormat="1" applyFont="1" applyFill="1" applyBorder="1" applyAlignment="1" applyProtection="1">
      <alignment horizontal="right" shrinkToFit="1"/>
    </xf>
    <xf numFmtId="1" fontId="18" fillId="20" borderId="328" xfId="2" applyNumberFormat="1" applyFont="1" applyFill="1" applyBorder="1" applyAlignment="1" applyProtection="1">
      <alignment shrinkToFit="1"/>
    </xf>
    <xf numFmtId="3" fontId="18" fillId="20" borderId="329" xfId="12" applyNumberFormat="1" applyFont="1" applyFill="1" applyBorder="1" applyAlignment="1" applyProtection="1">
      <alignment shrinkToFit="1"/>
    </xf>
    <xf numFmtId="1" fontId="18" fillId="20" borderId="330" xfId="2" applyNumberFormat="1" applyFont="1" applyFill="1" applyBorder="1" applyAlignment="1" applyProtection="1">
      <alignment shrinkToFit="1"/>
    </xf>
    <xf numFmtId="3" fontId="18" fillId="20" borderId="331" xfId="12" applyNumberFormat="1" applyFont="1" applyFill="1" applyBorder="1" applyAlignment="1" applyProtection="1">
      <alignment shrinkToFit="1"/>
    </xf>
    <xf numFmtId="183" fontId="18" fillId="20" borderId="327" xfId="2" applyNumberFormat="1" applyFont="1" applyFill="1" applyBorder="1" applyAlignment="1" applyProtection="1">
      <alignment horizontal="right" shrinkToFit="1"/>
    </xf>
    <xf numFmtId="1" fontId="18" fillId="20" borderId="330" xfId="2" applyNumberFormat="1" applyFont="1" applyFill="1" applyBorder="1" applyAlignment="1" applyProtection="1">
      <alignment horizontal="right" shrinkToFit="1"/>
    </xf>
    <xf numFmtId="183" fontId="18" fillId="20" borderId="280" xfId="2" applyNumberFormat="1" applyFont="1" applyFill="1" applyBorder="1" applyAlignment="1" applyProtection="1">
      <alignment horizontal="right" shrinkToFit="1"/>
    </xf>
    <xf numFmtId="3" fontId="18" fillId="20" borderId="332" xfId="12" applyNumberFormat="1" applyFont="1" applyFill="1" applyBorder="1" applyAlignment="1" applyProtection="1">
      <alignment horizontal="right" shrinkToFit="1"/>
    </xf>
    <xf numFmtId="183" fontId="18" fillId="20" borderId="330" xfId="2" applyNumberFormat="1" applyFont="1" applyFill="1" applyBorder="1" applyAlignment="1" applyProtection="1">
      <alignment horizontal="right" shrinkToFit="1"/>
    </xf>
    <xf numFmtId="3" fontId="18" fillId="20" borderId="326" xfId="12" applyNumberFormat="1" applyFont="1" applyFill="1" applyBorder="1" applyAlignment="1" applyProtection="1">
      <alignment wrapText="1" shrinkToFit="1"/>
    </xf>
    <xf numFmtId="183" fontId="18" fillId="20" borderId="328" xfId="2" applyNumberFormat="1" applyFont="1" applyFill="1" applyBorder="1" applyAlignment="1" applyProtection="1">
      <alignment horizontal="right" shrinkToFit="1"/>
    </xf>
    <xf numFmtId="183" fontId="18" fillId="20" borderId="328" xfId="2" applyNumberFormat="1" applyFont="1" applyFill="1" applyBorder="1" applyAlignment="1" applyProtection="1">
      <alignment horizontal="center" shrinkToFit="1"/>
    </xf>
    <xf numFmtId="3" fontId="18" fillId="20" borderId="331" xfId="12" applyNumberFormat="1" applyFont="1" applyFill="1" applyBorder="1" applyAlignment="1" applyProtection="1">
      <alignment wrapText="1" shrinkToFit="1"/>
    </xf>
    <xf numFmtId="202" fontId="5" fillId="0" borderId="11" xfId="2" applyNumberFormat="1" applyFont="1" applyFill="1" applyBorder="1" applyAlignment="1" applyProtection="1">
      <alignment vertical="center"/>
    </xf>
    <xf numFmtId="0" fontId="5" fillId="0" borderId="12" xfId="2" applyNumberFormat="1" applyFont="1" applyFill="1" applyBorder="1" applyAlignment="1" applyProtection="1">
      <alignment vertical="center"/>
      <protection locked="0"/>
    </xf>
    <xf numFmtId="234" fontId="5" fillId="0" borderId="12" xfId="12" applyNumberFormat="1" applyFont="1" applyFill="1" applyBorder="1" applyAlignment="1" applyProtection="1">
      <alignment vertical="center"/>
    </xf>
    <xf numFmtId="226" fontId="5" fillId="0" borderId="12" xfId="12" applyNumberFormat="1" applyFont="1" applyFill="1" applyBorder="1" applyAlignment="1" applyProtection="1">
      <alignment vertical="center"/>
    </xf>
    <xf numFmtId="226" fontId="5" fillId="0" borderId="13" xfId="2" applyNumberFormat="1" applyFont="1" applyFill="1" applyBorder="1" applyAlignment="1" applyProtection="1">
      <alignment vertical="center"/>
    </xf>
    <xf numFmtId="0" fontId="5" fillId="20" borderId="333" xfId="2" applyFont="1" applyFill="1" applyBorder="1" applyAlignment="1" applyProtection="1">
      <alignment horizontal="left" indent="1"/>
    </xf>
    <xf numFmtId="0" fontId="5" fillId="20" borderId="334" xfId="2" applyFont="1" applyFill="1" applyBorder="1" applyProtection="1"/>
    <xf numFmtId="0" fontId="5" fillId="20" borderId="181" xfId="2" applyFont="1" applyFill="1" applyBorder="1" applyProtection="1"/>
    <xf numFmtId="0" fontId="5" fillId="20" borderId="181" xfId="2" applyFont="1" applyFill="1" applyBorder="1" applyAlignment="1" applyProtection="1">
      <alignment horizontal="right"/>
    </xf>
    <xf numFmtId="0" fontId="5" fillId="20" borderId="181" xfId="2" applyFont="1" applyFill="1" applyBorder="1" applyAlignment="1" applyProtection="1"/>
    <xf numFmtId="38" fontId="5" fillId="20" borderId="181" xfId="12" applyFont="1" applyFill="1" applyBorder="1" applyAlignment="1" applyProtection="1">
      <alignment horizontal="centerContinuous"/>
    </xf>
    <xf numFmtId="3" fontId="5" fillId="20" borderId="335" xfId="2" applyNumberFormat="1" applyFont="1" applyFill="1" applyBorder="1" applyAlignment="1" applyProtection="1">
      <alignment horizontal="right" shrinkToFit="1"/>
    </xf>
    <xf numFmtId="207" fontId="5" fillId="20" borderId="336" xfId="2" applyNumberFormat="1" applyFont="1" applyFill="1" applyBorder="1" applyAlignment="1" applyProtection="1">
      <alignment horizontal="right" shrinkToFit="1"/>
    </xf>
    <xf numFmtId="0" fontId="5" fillId="20" borderId="161" xfId="2" applyFont="1" applyFill="1" applyBorder="1" applyAlignment="1" applyProtection="1">
      <alignment horizontal="right" shrinkToFit="1"/>
    </xf>
    <xf numFmtId="207" fontId="5" fillId="20" borderId="337" xfId="2" applyNumberFormat="1" applyFont="1" applyFill="1" applyBorder="1" applyAlignment="1" applyProtection="1">
      <alignment horizontal="right" shrinkToFit="1"/>
    </xf>
    <xf numFmtId="183" fontId="5" fillId="20" borderId="335" xfId="2" applyNumberFormat="1" applyFont="1" applyFill="1" applyBorder="1" applyAlignment="1" applyProtection="1">
      <alignment horizontal="right" shrinkToFit="1"/>
    </xf>
    <xf numFmtId="183" fontId="5" fillId="20" borderId="161" xfId="2" applyNumberFormat="1" applyFont="1" applyFill="1" applyBorder="1" applyAlignment="1" applyProtection="1">
      <alignment horizontal="right" shrinkToFit="1"/>
    </xf>
    <xf numFmtId="207" fontId="5" fillId="20" borderId="338" xfId="2" applyNumberFormat="1" applyFont="1" applyFill="1" applyBorder="1" applyAlignment="1" applyProtection="1">
      <alignment horizontal="right" shrinkToFit="1"/>
    </xf>
    <xf numFmtId="3" fontId="18" fillId="0" borderId="0" xfId="12" applyNumberFormat="1" applyFont="1" applyFill="1" applyBorder="1" applyAlignment="1" applyProtection="1">
      <alignment vertical="center"/>
    </xf>
    <xf numFmtId="202" fontId="18" fillId="0" borderId="0" xfId="2" applyNumberFormat="1" applyFont="1" applyFill="1" applyBorder="1" applyAlignment="1" applyProtection="1">
      <alignment vertical="center"/>
      <protection locked="0"/>
    </xf>
    <xf numFmtId="207" fontId="18" fillId="0" borderId="0" xfId="2" applyNumberFormat="1" applyFont="1" applyFill="1" applyBorder="1" applyAlignment="1" applyProtection="1">
      <alignment vertical="center"/>
      <protection locked="0"/>
    </xf>
    <xf numFmtId="0" fontId="18" fillId="0" borderId="0" xfId="2" applyNumberFormat="1" applyFont="1" applyFill="1" applyBorder="1" applyAlignment="1" applyProtection="1">
      <alignment vertical="center"/>
      <protection locked="0"/>
    </xf>
    <xf numFmtId="0" fontId="5" fillId="0" borderId="0" xfId="2" applyFont="1" applyFill="1" applyAlignment="1" applyProtection="1">
      <alignment horizontal="right"/>
      <protection locked="0"/>
    </xf>
    <xf numFmtId="0" fontId="5" fillId="0" borderId="38" xfId="2" applyFont="1" applyFill="1" applyBorder="1" applyProtection="1">
      <protection locked="0"/>
    </xf>
    <xf numFmtId="202" fontId="5" fillId="0" borderId="11" xfId="2" applyNumberFormat="1" applyFont="1" applyFill="1" applyBorder="1" applyAlignment="1" applyProtection="1">
      <alignment vertical="center"/>
      <protection locked="0"/>
    </xf>
    <xf numFmtId="0" fontId="5" fillId="0" borderId="12" xfId="2" applyFont="1" applyFill="1" applyBorder="1" applyAlignment="1" applyProtection="1">
      <alignment vertical="center"/>
      <protection locked="0"/>
    </xf>
    <xf numFmtId="2" fontId="18" fillId="0" borderId="0" xfId="2" applyNumberFormat="1" applyFont="1" applyFill="1" applyBorder="1" applyAlignment="1" applyProtection="1">
      <alignment vertical="center" shrinkToFit="1"/>
    </xf>
    <xf numFmtId="193" fontId="18" fillId="0" borderId="0" xfId="12" applyNumberFormat="1" applyFont="1" applyFill="1" applyBorder="1" applyAlignment="1" applyProtection="1">
      <alignment vertical="center"/>
    </xf>
    <xf numFmtId="0" fontId="5" fillId="3" borderId="75" xfId="2" applyFont="1" applyFill="1" applyBorder="1" applyAlignment="1" applyProtection="1">
      <alignment horizontal="left" vertical="center" wrapText="1" indent="1"/>
      <protection locked="0"/>
    </xf>
    <xf numFmtId="0" fontId="5" fillId="3" borderId="34" xfId="2" applyFont="1" applyFill="1" applyBorder="1" applyAlignment="1" applyProtection="1">
      <alignment horizontal="left" vertical="center" indent="1"/>
      <protection locked="0"/>
    </xf>
    <xf numFmtId="0" fontId="5" fillId="3" borderId="34" xfId="2" applyFont="1" applyFill="1" applyBorder="1" applyAlignment="1" applyProtection="1">
      <alignment vertical="center"/>
      <protection locked="0"/>
    </xf>
    <xf numFmtId="0" fontId="5" fillId="3" borderId="339" xfId="2" applyFont="1" applyFill="1" applyBorder="1" applyAlignment="1" applyProtection="1">
      <alignment vertical="center"/>
      <protection locked="0"/>
    </xf>
    <xf numFmtId="183" fontId="5" fillId="3" borderId="340" xfId="2" applyNumberFormat="1" applyFont="1" applyFill="1" applyBorder="1" applyAlignment="1" applyProtection="1">
      <alignment horizontal="centerContinuous"/>
      <protection locked="0"/>
    </xf>
    <xf numFmtId="202" fontId="5" fillId="3" borderId="341" xfId="2" applyNumberFormat="1" applyFont="1" applyFill="1" applyBorder="1" applyAlignment="1" applyProtection="1">
      <alignment horizontal="centerContinuous"/>
    </xf>
    <xf numFmtId="183" fontId="5" fillId="3" borderId="342" xfId="2" applyNumberFormat="1" applyFont="1" applyFill="1" applyBorder="1" applyAlignment="1" applyProtection="1">
      <alignment horizontal="centerContinuous"/>
      <protection locked="0"/>
    </xf>
    <xf numFmtId="202" fontId="5" fillId="3" borderId="343" xfId="2" applyNumberFormat="1" applyFont="1" applyFill="1" applyBorder="1" applyAlignment="1" applyProtection="1">
      <alignment horizontal="centerContinuous"/>
    </xf>
    <xf numFmtId="202" fontId="5" fillId="16" borderId="344" xfId="2" applyNumberFormat="1" applyFont="1" applyFill="1" applyBorder="1" applyAlignment="1" applyProtection="1">
      <alignment horizontal="centerContinuous"/>
      <protection locked="0"/>
    </xf>
    <xf numFmtId="202" fontId="5" fillId="16" borderId="22" xfId="2" applyNumberFormat="1" applyFont="1" applyFill="1" applyBorder="1" applyAlignment="1" applyProtection="1">
      <alignment horizontal="centerContinuous"/>
      <protection locked="0"/>
    </xf>
    <xf numFmtId="202" fontId="5" fillId="16" borderId="345" xfId="2" applyNumberFormat="1" applyFont="1" applyFill="1" applyBorder="1" applyAlignment="1" applyProtection="1">
      <alignment horizontal="centerContinuous"/>
      <protection locked="0"/>
    </xf>
    <xf numFmtId="202" fontId="5" fillId="17" borderId="346" xfId="2" applyNumberFormat="1" applyFont="1" applyFill="1" applyBorder="1" applyAlignment="1" applyProtection="1">
      <alignment horizontal="centerContinuous"/>
      <protection locked="0"/>
    </xf>
    <xf numFmtId="202" fontId="5" fillId="17" borderId="22" xfId="2" applyNumberFormat="1" applyFont="1" applyFill="1" applyBorder="1" applyAlignment="1" applyProtection="1">
      <alignment horizontal="centerContinuous"/>
      <protection locked="0"/>
    </xf>
    <xf numFmtId="202" fontId="5" fillId="17" borderId="347" xfId="2" applyNumberFormat="1" applyFont="1" applyFill="1" applyBorder="1" applyAlignment="1" applyProtection="1">
      <alignment horizontal="centerContinuous"/>
      <protection locked="0"/>
    </xf>
    <xf numFmtId="202" fontId="5" fillId="13" borderId="341" xfId="2" applyNumberFormat="1" applyFont="1" applyFill="1" applyBorder="1" applyAlignment="1" applyProtection="1">
      <alignment horizontal="centerContinuous"/>
      <protection locked="0"/>
    </xf>
    <xf numFmtId="202" fontId="5" fillId="13" borderId="341" xfId="2" applyNumberFormat="1" applyFont="1" applyFill="1" applyBorder="1" applyAlignment="1" applyProtection="1">
      <alignment horizontal="centerContinuous"/>
    </xf>
    <xf numFmtId="202" fontId="5" fillId="14" borderId="342" xfId="2" applyNumberFormat="1" applyFont="1" applyFill="1" applyBorder="1" applyAlignment="1" applyProtection="1">
      <alignment horizontal="centerContinuous"/>
      <protection locked="0"/>
    </xf>
    <xf numFmtId="202" fontId="5" fillId="14" borderId="341" xfId="2" applyNumberFormat="1" applyFont="1" applyFill="1" applyBorder="1" applyAlignment="1" applyProtection="1">
      <alignment horizontal="centerContinuous"/>
    </xf>
    <xf numFmtId="202" fontId="5" fillId="15" borderId="342" xfId="2" applyNumberFormat="1" applyFont="1" applyFill="1" applyBorder="1" applyAlignment="1" applyProtection="1">
      <alignment horizontal="centerContinuous"/>
      <protection locked="0"/>
    </xf>
    <xf numFmtId="202" fontId="5" fillId="15" borderId="341" xfId="2" applyNumberFormat="1" applyFont="1" applyFill="1" applyBorder="1" applyAlignment="1" applyProtection="1">
      <alignment horizontal="centerContinuous"/>
    </xf>
    <xf numFmtId="202" fontId="5" fillId="3" borderId="342" xfId="2" applyNumberFormat="1" applyFont="1" applyFill="1" applyBorder="1" applyAlignment="1" applyProtection="1">
      <alignment horizontal="centerContinuous"/>
      <protection locked="0"/>
    </xf>
    <xf numFmtId="0" fontId="5" fillId="3" borderId="96" xfId="2" applyFont="1" applyFill="1" applyBorder="1" applyAlignment="1" applyProtection="1">
      <alignment horizontal="left" vertical="center" indent="1"/>
      <protection locked="0"/>
    </xf>
    <xf numFmtId="0" fontId="5" fillId="3" borderId="0" xfId="2" applyFont="1" applyFill="1" applyBorder="1" applyAlignment="1" applyProtection="1">
      <alignment horizontal="left" vertical="center" indent="1"/>
      <protection locked="0"/>
    </xf>
    <xf numFmtId="0" fontId="5" fillId="3" borderId="0" xfId="2" applyFont="1" applyFill="1" applyBorder="1" applyAlignment="1" applyProtection="1">
      <alignment vertical="center"/>
      <protection locked="0"/>
    </xf>
    <xf numFmtId="0" fontId="5" fillId="3" borderId="256" xfId="2" applyFont="1" applyFill="1" applyBorder="1" applyAlignment="1" applyProtection="1">
      <alignment vertical="center"/>
      <protection locked="0"/>
    </xf>
    <xf numFmtId="177" fontId="5" fillId="3" borderId="253" xfId="2" applyNumberFormat="1" applyFont="1" applyFill="1" applyBorder="1" applyAlignment="1" applyProtection="1">
      <alignment horizontal="center" vertical="center" shrinkToFit="1"/>
    </xf>
    <xf numFmtId="3" fontId="5" fillId="3" borderId="205" xfId="12" applyNumberFormat="1" applyFont="1" applyFill="1" applyBorder="1" applyAlignment="1" applyProtection="1">
      <alignment horizontal="center" vertical="center" shrinkToFit="1"/>
    </xf>
    <xf numFmtId="177" fontId="5" fillId="3" borderId="348" xfId="2" applyNumberFormat="1" applyFont="1" applyFill="1" applyBorder="1" applyAlignment="1" applyProtection="1">
      <alignment horizontal="center" vertical="center" shrinkToFit="1"/>
    </xf>
    <xf numFmtId="177" fontId="5" fillId="3" borderId="40" xfId="2" applyNumberFormat="1" applyFont="1" applyFill="1" applyBorder="1" applyAlignment="1" applyProtection="1">
      <alignment horizontal="center" vertical="center" shrinkToFit="1"/>
    </xf>
    <xf numFmtId="3" fontId="5" fillId="3" borderId="38" xfId="12" applyNumberFormat="1" applyFont="1" applyFill="1" applyBorder="1" applyAlignment="1" applyProtection="1">
      <alignment horizontal="center" vertical="center" shrinkToFit="1"/>
    </xf>
    <xf numFmtId="183" fontId="5" fillId="3" borderId="253" xfId="2" applyNumberFormat="1" applyFont="1" applyFill="1" applyBorder="1" applyAlignment="1" applyProtection="1">
      <alignment horizontal="center" vertical="center" shrinkToFit="1"/>
    </xf>
    <xf numFmtId="183" fontId="5" fillId="3" borderId="348" xfId="2" applyNumberFormat="1" applyFont="1" applyFill="1" applyBorder="1" applyAlignment="1" applyProtection="1">
      <alignment horizontal="center" vertical="center" shrinkToFit="1"/>
    </xf>
    <xf numFmtId="3" fontId="5" fillId="3" borderId="256" xfId="12" applyNumberFormat="1" applyFont="1" applyFill="1" applyBorder="1" applyAlignment="1" applyProtection="1">
      <alignment horizontal="center" vertical="center" shrinkToFit="1"/>
    </xf>
    <xf numFmtId="183" fontId="5" fillId="3" borderId="40" xfId="2" applyNumberFormat="1" applyFont="1" applyFill="1" applyBorder="1" applyAlignment="1" applyProtection="1">
      <alignment horizontal="center" vertical="center" shrinkToFit="1"/>
    </xf>
    <xf numFmtId="0" fontId="5" fillId="0" borderId="76" xfId="2" applyFont="1" applyFill="1" applyBorder="1" applyAlignment="1" applyProtection="1">
      <alignment horizontal="left" indent="2"/>
    </xf>
    <xf numFmtId="0" fontId="5" fillId="0" borderId="77" xfId="2" applyFont="1" applyFill="1" applyBorder="1" applyAlignment="1" applyProtection="1"/>
    <xf numFmtId="235" fontId="5" fillId="0" borderId="77" xfId="2" applyNumberFormat="1" applyFont="1" applyFill="1" applyBorder="1" applyAlignment="1" applyProtection="1">
      <alignment horizontal="center" shrinkToFit="1"/>
    </xf>
    <xf numFmtId="0" fontId="5" fillId="0" borderId="264" xfId="2" applyFont="1" applyFill="1" applyBorder="1" applyAlignment="1" applyProtection="1">
      <alignment shrinkToFit="1"/>
    </xf>
    <xf numFmtId="207" fontId="5" fillId="0" borderId="349" xfId="2" applyNumberFormat="1" applyFont="1" applyFill="1" applyBorder="1" applyAlignment="1" applyProtection="1">
      <alignment horizontal="right" shrinkToFit="1"/>
    </xf>
    <xf numFmtId="193" fontId="5" fillId="0" borderId="350" xfId="12" applyNumberFormat="1" applyFont="1" applyFill="1" applyBorder="1" applyAlignment="1" applyProtection="1">
      <alignment horizontal="right" shrinkToFit="1"/>
    </xf>
    <xf numFmtId="207" fontId="5" fillId="0" borderId="351" xfId="2" applyNumberFormat="1" applyFont="1" applyFill="1" applyBorder="1" applyAlignment="1" applyProtection="1">
      <alignment horizontal="right" shrinkToFit="1"/>
    </xf>
    <xf numFmtId="183" fontId="5" fillId="0" borderId="349" xfId="2" applyNumberFormat="1" applyFont="1" applyFill="1" applyBorder="1" applyAlignment="1" applyProtection="1">
      <alignment horizontal="right" shrinkToFit="1"/>
    </xf>
    <xf numFmtId="207" fontId="5" fillId="0" borderId="64" xfId="2" applyNumberFormat="1" applyFont="1" applyFill="1" applyBorder="1" applyAlignment="1" applyProtection="1">
      <alignment horizontal="right" shrinkToFit="1"/>
    </xf>
    <xf numFmtId="183" fontId="5" fillId="0" borderId="351" xfId="2" applyNumberFormat="1" applyFont="1" applyFill="1" applyBorder="1" applyAlignment="1" applyProtection="1">
      <alignment horizontal="right" shrinkToFit="1"/>
    </xf>
    <xf numFmtId="193" fontId="5" fillId="0" borderId="264" xfId="12" applyNumberFormat="1" applyFont="1" applyFill="1" applyBorder="1" applyAlignment="1" applyProtection="1">
      <alignment horizontal="right" shrinkToFit="1"/>
    </xf>
    <xf numFmtId="183" fontId="5" fillId="0" borderId="349" xfId="2" applyNumberFormat="1" applyFont="1" applyFill="1" applyBorder="1" applyAlignment="1" applyProtection="1">
      <alignment horizontal="center" shrinkToFit="1"/>
    </xf>
    <xf numFmtId="3" fontId="5" fillId="0" borderId="352" xfId="2" applyNumberFormat="1" applyFont="1" applyFill="1" applyBorder="1" applyAlignment="1" applyProtection="1">
      <alignment shrinkToFit="1"/>
    </xf>
    <xf numFmtId="183" fontId="5" fillId="0" borderId="351" xfId="2" applyNumberFormat="1" applyFont="1" applyFill="1" applyBorder="1" applyAlignment="1" applyProtection="1">
      <alignment horizontal="center" shrinkToFit="1"/>
    </xf>
    <xf numFmtId="3" fontId="5" fillId="0" borderId="66" xfId="2" applyNumberFormat="1" applyFont="1" applyFill="1" applyBorder="1" applyAlignment="1" applyProtection="1">
      <alignment shrinkToFit="1"/>
    </xf>
    <xf numFmtId="1" fontId="5" fillId="0" borderId="0" xfId="2" applyNumberFormat="1" applyFont="1" applyFill="1" applyBorder="1" applyAlignment="1" applyProtection="1">
      <alignment vertical="center"/>
    </xf>
    <xf numFmtId="204" fontId="5" fillId="0" borderId="34" xfId="2" applyNumberFormat="1" applyFont="1" applyFill="1" applyBorder="1" applyAlignment="1" applyProtection="1">
      <alignment horizontal="center" shrinkToFit="1"/>
    </xf>
    <xf numFmtId="0" fontId="5" fillId="0" borderId="353" xfId="2" applyFont="1" applyFill="1" applyBorder="1" applyAlignment="1" applyProtection="1">
      <alignment horizontal="left" indent="2"/>
    </xf>
    <xf numFmtId="0" fontId="5" fillId="0" borderId="79" xfId="2" applyFont="1" applyFill="1" applyBorder="1" applyAlignment="1" applyProtection="1"/>
    <xf numFmtId="0" fontId="5" fillId="0" borderId="79" xfId="2" applyNumberFormat="1" applyFont="1" applyFill="1" applyBorder="1" applyAlignment="1" applyProtection="1"/>
    <xf numFmtId="236" fontId="5" fillId="0" borderId="79" xfId="2" applyNumberFormat="1" applyFont="1" applyFill="1" applyBorder="1" applyAlignment="1" applyProtection="1">
      <alignment horizontal="center" shrinkToFit="1"/>
    </xf>
    <xf numFmtId="232" fontId="5" fillId="0" borderId="200" xfId="2" applyNumberFormat="1" applyFont="1" applyFill="1" applyBorder="1" applyAlignment="1" applyProtection="1">
      <alignment horizontal="right" shrinkToFit="1"/>
    </xf>
    <xf numFmtId="232" fontId="5" fillId="0" borderId="202" xfId="2" applyNumberFormat="1" applyFont="1" applyFill="1" applyBorder="1" applyAlignment="1" applyProtection="1">
      <alignment horizontal="right" shrinkToFit="1"/>
    </xf>
    <xf numFmtId="233" fontId="5" fillId="0" borderId="216" xfId="2" applyNumberFormat="1" applyFont="1" applyFill="1" applyBorder="1" applyAlignment="1" applyProtection="1">
      <alignment horizontal="right" shrinkToFit="1"/>
    </xf>
    <xf numFmtId="3" fontId="5" fillId="0" borderId="215" xfId="12" applyNumberFormat="1" applyFont="1" applyFill="1" applyBorder="1" applyAlignment="1" applyProtection="1">
      <alignment horizontal="right" shrinkToFit="1"/>
    </xf>
    <xf numFmtId="183" fontId="5" fillId="0" borderId="217" xfId="2" applyNumberFormat="1" applyFont="1" applyFill="1" applyBorder="1" applyAlignment="1" applyProtection="1">
      <alignment horizontal="right" shrinkToFit="1"/>
    </xf>
    <xf numFmtId="3" fontId="5" fillId="0" borderId="219" xfId="12" applyNumberFormat="1" applyFont="1" applyFill="1" applyBorder="1" applyAlignment="1" applyProtection="1">
      <alignment horizontal="right" shrinkToFit="1"/>
    </xf>
    <xf numFmtId="183" fontId="5" fillId="0" borderId="200" xfId="2" applyNumberFormat="1" applyFont="1" applyFill="1" applyBorder="1" applyAlignment="1" applyProtection="1">
      <alignment horizontal="center" shrinkToFit="1"/>
    </xf>
    <xf numFmtId="3" fontId="5" fillId="0" borderId="311" xfId="2" applyNumberFormat="1" applyFont="1" applyFill="1" applyBorder="1" applyAlignment="1" applyProtection="1">
      <alignment shrinkToFit="1"/>
    </xf>
    <xf numFmtId="183" fontId="5" fillId="0" borderId="202" xfId="2" applyNumberFormat="1" applyFont="1" applyFill="1" applyBorder="1" applyAlignment="1" applyProtection="1">
      <alignment horizontal="center" shrinkToFit="1"/>
    </xf>
    <xf numFmtId="3" fontId="5" fillId="0" borderId="70" xfId="2" applyNumberFormat="1" applyFont="1" applyFill="1" applyBorder="1" applyAlignment="1" applyProtection="1">
      <alignment shrinkToFit="1"/>
    </xf>
    <xf numFmtId="204" fontId="5" fillId="0" borderId="0" xfId="2" applyNumberFormat="1" applyFont="1" applyFill="1" applyBorder="1" applyAlignment="1" applyProtection="1">
      <alignment vertical="center" shrinkToFit="1"/>
    </xf>
    <xf numFmtId="0" fontId="5" fillId="0" borderId="157" xfId="2" applyFont="1" applyFill="1" applyBorder="1" applyProtection="1">
      <protection locked="0"/>
    </xf>
    <xf numFmtId="0" fontId="5" fillId="0" borderId="79" xfId="2" applyNumberFormat="1" applyFont="1" applyFill="1" applyBorder="1" applyAlignment="1" applyProtection="1">
      <alignment horizontal="left"/>
    </xf>
    <xf numFmtId="176" fontId="5" fillId="0" borderId="204" xfId="2" applyNumberFormat="1" applyFont="1" applyFill="1" applyBorder="1" applyAlignment="1" applyProtection="1">
      <alignment horizontal="left"/>
    </xf>
    <xf numFmtId="0" fontId="5" fillId="0" borderId="79" xfId="2" applyFont="1" applyFill="1" applyBorder="1" applyProtection="1"/>
    <xf numFmtId="235" fontId="5" fillId="0" borderId="79" xfId="2" applyNumberFormat="1" applyFont="1" applyFill="1" applyBorder="1" applyAlignment="1" applyProtection="1">
      <alignment horizontal="center" shrinkToFit="1"/>
    </xf>
    <xf numFmtId="193" fontId="5" fillId="0" borderId="157" xfId="12" applyNumberFormat="1" applyFont="1" applyFill="1" applyBorder="1" applyAlignment="1" applyProtection="1">
      <alignment horizontal="right" shrinkToFit="1"/>
    </xf>
    <xf numFmtId="0" fontId="5" fillId="0" borderId="97" xfId="2" applyFont="1" applyFill="1" applyBorder="1" applyAlignment="1" applyProtection="1">
      <alignment horizontal="left" indent="2"/>
    </xf>
    <xf numFmtId="0" fontId="5" fillId="0" borderId="56" xfId="2" applyFont="1" applyFill="1" applyBorder="1" applyAlignment="1" applyProtection="1"/>
    <xf numFmtId="0" fontId="5" fillId="0" borderId="177" xfId="2" applyFont="1" applyFill="1" applyBorder="1" applyAlignment="1" applyProtection="1"/>
    <xf numFmtId="204" fontId="5" fillId="0" borderId="354" xfId="2" applyNumberFormat="1" applyFont="1" applyFill="1" applyBorder="1" applyAlignment="1" applyProtection="1">
      <alignment horizontal="right" shrinkToFit="1"/>
    </xf>
    <xf numFmtId="193" fontId="5" fillId="0" borderId="159" xfId="12" applyNumberFormat="1" applyFont="1" applyFill="1" applyBorder="1" applyAlignment="1" applyProtection="1">
      <alignment horizontal="right" shrinkToFit="1"/>
    </xf>
    <xf numFmtId="204" fontId="5" fillId="0" borderId="355" xfId="2" applyNumberFormat="1" applyFont="1" applyFill="1" applyBorder="1" applyAlignment="1" applyProtection="1">
      <alignment horizontal="right" shrinkToFit="1"/>
    </xf>
    <xf numFmtId="193" fontId="5" fillId="0" borderId="56" xfId="12" applyNumberFormat="1" applyFont="1" applyFill="1" applyBorder="1" applyAlignment="1" applyProtection="1">
      <alignment horizontal="right" shrinkToFit="1"/>
    </xf>
    <xf numFmtId="193" fontId="5" fillId="0" borderId="57" xfId="12" applyNumberFormat="1" applyFont="1" applyFill="1" applyBorder="1" applyAlignment="1" applyProtection="1">
      <alignment horizontal="right" shrinkToFit="1"/>
    </xf>
    <xf numFmtId="183" fontId="5" fillId="0" borderId="356" xfId="2" applyNumberFormat="1" applyFont="1" applyFill="1" applyBorder="1" applyAlignment="1" applyProtection="1">
      <alignment horizontal="right" shrinkToFit="1"/>
    </xf>
    <xf numFmtId="204" fontId="5" fillId="0" borderId="72" xfId="2" applyNumberFormat="1" applyFont="1" applyFill="1" applyBorder="1" applyAlignment="1" applyProtection="1">
      <alignment horizontal="right" shrinkToFit="1"/>
    </xf>
    <xf numFmtId="3" fontId="5" fillId="0" borderId="357" xfId="12" applyNumberFormat="1" applyFont="1" applyFill="1" applyBorder="1" applyAlignment="1" applyProtection="1">
      <alignment horizontal="right" shrinkToFit="1"/>
    </xf>
    <xf numFmtId="183" fontId="5" fillId="0" borderId="358" xfId="2" applyNumberFormat="1" applyFont="1" applyFill="1" applyBorder="1" applyAlignment="1" applyProtection="1">
      <alignment horizontal="right" shrinkToFit="1"/>
    </xf>
    <xf numFmtId="3" fontId="5" fillId="0" borderId="359" xfId="12" applyNumberFormat="1" applyFont="1" applyFill="1" applyBorder="1" applyAlignment="1" applyProtection="1">
      <alignment horizontal="right" shrinkToFit="1"/>
    </xf>
    <xf numFmtId="0" fontId="5" fillId="0" borderId="12" xfId="2" applyFont="1" applyFill="1" applyBorder="1" applyAlignment="1" applyProtection="1">
      <alignment vertical="center"/>
    </xf>
    <xf numFmtId="0" fontId="5" fillId="0" borderId="132" xfId="2" applyFont="1" applyFill="1" applyBorder="1" applyProtection="1">
      <protection locked="0"/>
    </xf>
    <xf numFmtId="0" fontId="5" fillId="0" borderId="0" xfId="2" applyFont="1" applyBorder="1" applyProtection="1">
      <protection locked="0"/>
    </xf>
    <xf numFmtId="0" fontId="5" fillId="0" borderId="38" xfId="2" applyFont="1" applyBorder="1" applyProtection="1">
      <protection locked="0"/>
    </xf>
    <xf numFmtId="0" fontId="5" fillId="3" borderId="75" xfId="2" applyFont="1" applyFill="1" applyBorder="1" applyAlignment="1" applyProtection="1">
      <alignment vertical="center"/>
      <protection locked="0"/>
    </xf>
    <xf numFmtId="0" fontId="5" fillId="3" borderId="75" xfId="2" applyFont="1" applyFill="1" applyBorder="1" applyAlignment="1" applyProtection="1">
      <alignment horizontal="left" vertical="center" indent="2"/>
      <protection locked="0"/>
    </xf>
    <xf numFmtId="0" fontId="5" fillId="3" borderId="34" xfId="2" applyFont="1" applyFill="1" applyBorder="1" applyAlignment="1" applyProtection="1">
      <alignment horizontal="left" vertical="center" indent="2"/>
      <protection locked="0"/>
    </xf>
    <xf numFmtId="0" fontId="5" fillId="3" borderId="96" xfId="2" applyFont="1" applyFill="1" applyBorder="1" applyAlignment="1" applyProtection="1">
      <alignment vertical="center"/>
      <protection locked="0"/>
    </xf>
    <xf numFmtId="0" fontId="5" fillId="3" borderId="96" xfId="2" applyFont="1" applyFill="1" applyBorder="1" applyAlignment="1" applyProtection="1">
      <alignment horizontal="left" vertical="center" indent="2"/>
      <protection locked="0"/>
    </xf>
    <xf numFmtId="0" fontId="5" fillId="3" borderId="0" xfId="2" applyFont="1" applyFill="1" applyBorder="1" applyAlignment="1" applyProtection="1">
      <alignment horizontal="left" vertical="center" indent="2"/>
      <protection locked="0"/>
    </xf>
    <xf numFmtId="0" fontId="5" fillId="0" borderId="77" xfId="2" applyFont="1" applyFill="1" applyBorder="1" applyAlignment="1" applyProtection="1">
      <alignment horizontal="right"/>
    </xf>
    <xf numFmtId="237" fontId="5" fillId="0" borderId="77" xfId="2" applyNumberFormat="1" applyFont="1" applyFill="1" applyBorder="1" applyAlignment="1" applyProtection="1">
      <alignment horizontal="center" shrinkToFit="1"/>
    </xf>
    <xf numFmtId="0" fontId="5" fillId="0" borderId="264" xfId="2" applyFont="1" applyFill="1" applyBorder="1" applyAlignment="1" applyProtection="1"/>
    <xf numFmtId="204" fontId="5" fillId="0" borderId="349" xfId="2" applyNumberFormat="1" applyFont="1" applyFill="1" applyBorder="1" applyAlignment="1" applyProtection="1">
      <alignment horizontal="right" shrinkToFit="1"/>
    </xf>
    <xf numFmtId="204" fontId="5" fillId="0" borderId="64" xfId="2" applyNumberFormat="1" applyFont="1" applyFill="1" applyBorder="1" applyAlignment="1" applyProtection="1">
      <alignment horizontal="right" shrinkToFit="1"/>
    </xf>
    <xf numFmtId="193" fontId="5" fillId="0" borderId="77" xfId="12" applyNumberFormat="1" applyFont="1" applyFill="1" applyBorder="1" applyAlignment="1" applyProtection="1">
      <alignment horizontal="right" shrinkToFit="1"/>
    </xf>
    <xf numFmtId="204" fontId="5" fillId="0" borderId="351" xfId="2" applyNumberFormat="1" applyFont="1" applyFill="1" applyBorder="1" applyAlignment="1" applyProtection="1">
      <alignment horizontal="right" shrinkToFit="1"/>
    </xf>
    <xf numFmtId="0" fontId="5" fillId="0" borderId="284" xfId="2" applyFont="1" applyFill="1" applyBorder="1" applyAlignment="1" applyProtection="1"/>
    <xf numFmtId="183" fontId="5" fillId="0" borderId="64" xfId="2" applyNumberFormat="1" applyFont="1" applyFill="1" applyBorder="1" applyAlignment="1" applyProtection="1">
      <alignment horizontal="right" shrinkToFit="1"/>
    </xf>
    <xf numFmtId="193" fontId="5" fillId="0" borderId="77" xfId="12" applyNumberFormat="1" applyFont="1" applyFill="1" applyBorder="1" applyAlignment="1" applyProtection="1">
      <alignment shrinkToFit="1"/>
    </xf>
    <xf numFmtId="183" fontId="5" fillId="0" borderId="360" xfId="2" applyNumberFormat="1" applyFont="1" applyFill="1" applyBorder="1" applyAlignment="1" applyProtection="1">
      <alignment horizontal="center" shrinkToFit="1"/>
    </xf>
    <xf numFmtId="183" fontId="5" fillId="0" borderId="361" xfId="2" applyNumberFormat="1" applyFont="1" applyFill="1" applyBorder="1" applyAlignment="1" applyProtection="1">
      <alignment horizontal="center" shrinkToFit="1"/>
    </xf>
    <xf numFmtId="204" fontId="5" fillId="0" borderId="356" xfId="2" applyNumberFormat="1" applyFont="1" applyFill="1" applyBorder="1" applyAlignment="1" applyProtection="1">
      <alignment horizontal="right" shrinkToFit="1"/>
    </xf>
    <xf numFmtId="227" fontId="5" fillId="0" borderId="357" xfId="12" applyNumberFormat="1" applyFont="1" applyFill="1" applyBorder="1" applyAlignment="1" applyProtection="1">
      <alignment horizontal="right" shrinkToFit="1"/>
    </xf>
    <xf numFmtId="227" fontId="5" fillId="0" borderId="81" xfId="12" applyNumberFormat="1" applyFont="1" applyFill="1" applyBorder="1" applyAlignment="1" applyProtection="1">
      <alignment horizontal="right" shrinkToFit="1"/>
    </xf>
    <xf numFmtId="204" fontId="5" fillId="0" borderId="358" xfId="2" applyNumberFormat="1" applyFont="1" applyFill="1" applyBorder="1" applyAlignment="1" applyProtection="1">
      <alignment horizontal="right" shrinkToFit="1"/>
    </xf>
    <xf numFmtId="227" fontId="5" fillId="0" borderId="130" xfId="12" applyNumberFormat="1" applyFont="1" applyFill="1" applyBorder="1" applyAlignment="1" applyProtection="1">
      <alignment horizontal="right" shrinkToFit="1"/>
    </xf>
    <xf numFmtId="0" fontId="5" fillId="0" borderId="81" xfId="2" applyFont="1" applyFill="1" applyBorder="1" applyAlignment="1" applyProtection="1"/>
    <xf numFmtId="200" fontId="5" fillId="0" borderId="81" xfId="2" applyNumberFormat="1" applyFont="1" applyFill="1" applyBorder="1" applyProtection="1"/>
    <xf numFmtId="238" fontId="5" fillId="0" borderId="81" xfId="2" applyNumberFormat="1" applyFont="1" applyFill="1" applyBorder="1" applyAlignment="1" applyProtection="1"/>
    <xf numFmtId="207" fontId="5" fillId="0" borderId="72" xfId="2" applyNumberFormat="1" applyFont="1" applyFill="1" applyBorder="1" applyAlignment="1" applyProtection="1">
      <alignment horizontal="right" shrinkToFit="1"/>
    </xf>
    <xf numFmtId="239" fontId="5" fillId="0" borderId="81" xfId="12" applyNumberFormat="1" applyFont="1" applyFill="1" applyBorder="1" applyAlignment="1" applyProtection="1">
      <alignment horizontal="right" shrinkToFit="1"/>
    </xf>
    <xf numFmtId="239" fontId="5" fillId="0" borderId="359" xfId="12" applyNumberFormat="1" applyFont="1" applyFill="1" applyBorder="1" applyAlignment="1" applyProtection="1">
      <alignment horizontal="right" shrinkToFit="1"/>
    </xf>
    <xf numFmtId="183" fontId="5" fillId="0" borderId="362" xfId="2" applyNumberFormat="1" applyFont="1" applyFill="1" applyBorder="1" applyAlignment="1" applyProtection="1">
      <alignment horizontal="center" shrinkToFit="1"/>
    </xf>
    <xf numFmtId="183" fontId="5" fillId="0" borderId="363" xfId="2" applyNumberFormat="1" applyFont="1" applyFill="1" applyBorder="1" applyAlignment="1" applyProtection="1">
      <alignment horizontal="center" shrinkToFit="1"/>
    </xf>
    <xf numFmtId="183" fontId="5" fillId="0" borderId="364" xfId="2" applyNumberFormat="1" applyFont="1" applyFill="1" applyBorder="1" applyAlignment="1" applyProtection="1">
      <alignment horizontal="center" shrinkToFit="1"/>
    </xf>
    <xf numFmtId="239" fontId="5" fillId="0" borderId="130" xfId="12" applyNumberFormat="1" applyFont="1" applyFill="1" applyBorder="1" applyAlignment="1" applyProtection="1">
      <alignment horizontal="right" shrinkToFit="1"/>
    </xf>
    <xf numFmtId="0" fontId="5" fillId="0" borderId="0" xfId="2" applyFont="1" applyAlignment="1" applyProtection="1">
      <alignment vertical="center"/>
      <protection locked="0"/>
    </xf>
    <xf numFmtId="0" fontId="5" fillId="3" borderId="2" xfId="2" applyFont="1" applyFill="1" applyBorder="1" applyAlignment="1" applyProtection="1">
      <alignment vertical="center"/>
    </xf>
    <xf numFmtId="0" fontId="5" fillId="3" borderId="3" xfId="2" applyFont="1" applyFill="1" applyBorder="1" applyAlignment="1" applyProtection="1">
      <alignment vertical="center"/>
    </xf>
    <xf numFmtId="204" fontId="5" fillId="0" borderId="21" xfId="2" applyNumberFormat="1" applyFont="1" applyFill="1" applyBorder="1" applyAlignment="1" applyProtection="1">
      <alignment horizontal="center" vertical="center" shrinkToFit="1"/>
    </xf>
    <xf numFmtId="204" fontId="5" fillId="0" borderId="22" xfId="2" applyNumberFormat="1" applyFont="1" applyFill="1" applyBorder="1" applyAlignment="1" applyProtection="1">
      <alignment horizontal="center" vertical="center" shrinkToFit="1"/>
    </xf>
    <xf numFmtId="204" fontId="5" fillId="0" borderId="23" xfId="2" applyNumberFormat="1" applyFont="1" applyFill="1" applyBorder="1" applyAlignment="1" applyProtection="1">
      <alignment horizontal="center" vertical="center" shrinkToFit="1"/>
    </xf>
    <xf numFmtId="204" fontId="5" fillId="0" borderId="34" xfId="2" applyNumberFormat="1" applyFont="1" applyFill="1" applyBorder="1" applyAlignment="1" applyProtection="1">
      <alignment horizontal="center" vertical="center" shrinkToFit="1"/>
    </xf>
    <xf numFmtId="189" fontId="5" fillId="0" borderId="21" xfId="2" applyNumberFormat="1" applyFont="1" applyFill="1" applyBorder="1" applyAlignment="1" applyProtection="1">
      <alignment horizontal="center" vertical="center" shrinkToFit="1"/>
    </xf>
    <xf numFmtId="189" fontId="5" fillId="0" borderId="22" xfId="2" applyNumberFormat="1" applyFont="1" applyFill="1" applyBorder="1" applyAlignment="1" applyProtection="1">
      <alignment horizontal="center" vertical="center" shrinkToFit="1"/>
    </xf>
    <xf numFmtId="189" fontId="5" fillId="0" borderId="23" xfId="2" applyNumberFormat="1" applyFont="1" applyFill="1" applyBorder="1" applyAlignment="1" applyProtection="1">
      <alignment horizontal="center" vertical="center" shrinkToFit="1"/>
    </xf>
    <xf numFmtId="204" fontId="5" fillId="0" borderId="347" xfId="2" applyNumberFormat="1" applyFont="1" applyFill="1" applyBorder="1" applyAlignment="1" applyProtection="1">
      <alignment horizontal="center" vertical="center" shrinkToFit="1"/>
    </xf>
    <xf numFmtId="204" fontId="5" fillId="0" borderId="365" xfId="2" applyNumberFormat="1" applyFont="1" applyFill="1" applyBorder="1" applyAlignment="1" applyProtection="1">
      <alignment horizontal="center" vertical="center" shrinkToFit="1"/>
    </xf>
    <xf numFmtId="204" fontId="5" fillId="0" borderId="366" xfId="2" applyNumberFormat="1" applyFont="1" applyFill="1" applyBorder="1" applyAlignment="1" applyProtection="1">
      <alignment horizontal="center" vertical="center" shrinkToFit="1"/>
    </xf>
    <xf numFmtId="2" fontId="5" fillId="0" borderId="0" xfId="2" applyNumberFormat="1" applyFont="1" applyFill="1" applyBorder="1" applyAlignment="1" applyProtection="1">
      <alignment vertical="center" shrinkToFit="1"/>
    </xf>
    <xf numFmtId="0" fontId="18" fillId="0" borderId="0" xfId="1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0" fontId="5" fillId="0" borderId="0" xfId="2" applyNumberFormat="1" applyFont="1" applyFill="1" applyBorder="1" applyAlignment="1" applyProtection="1">
      <alignment vertical="center" shrinkToFit="1"/>
    </xf>
    <xf numFmtId="0" fontId="5" fillId="0" borderId="0" xfId="2" applyNumberFormat="1" applyFont="1" applyFill="1" applyBorder="1" applyAlignment="1" applyProtection="1">
      <protection locked="0"/>
    </xf>
    <xf numFmtId="183" fontId="5" fillId="0" borderId="367" xfId="2" applyNumberFormat="1" applyFont="1" applyFill="1" applyBorder="1" applyAlignment="1" applyProtection="1">
      <alignment horizontal="center" shrinkToFit="1"/>
    </xf>
    <xf numFmtId="0" fontId="0" fillId="0" borderId="201" xfId="0" applyBorder="1" applyAlignment="1">
      <alignment horizontal="center" shrinkToFit="1"/>
    </xf>
    <xf numFmtId="183" fontId="5" fillId="0" borderId="368" xfId="2" applyNumberFormat="1" applyFont="1" applyFill="1" applyBorder="1" applyAlignment="1" applyProtection="1">
      <alignment horizontal="center" shrinkToFit="1"/>
    </xf>
    <xf numFmtId="183" fontId="5" fillId="0" borderId="369" xfId="2" applyNumberFormat="1" applyFont="1" applyFill="1" applyBorder="1" applyAlignment="1" applyProtection="1">
      <alignment horizontal="center" shrinkToFit="1"/>
    </xf>
    <xf numFmtId="0" fontId="0" fillId="0" borderId="357" xfId="0" applyBorder="1" applyAlignment="1">
      <alignment horizontal="center" shrinkToFit="1"/>
    </xf>
    <xf numFmtId="183" fontId="5" fillId="0" borderId="370" xfId="2" applyNumberFormat="1" applyFont="1" applyFill="1" applyBorder="1" applyAlignment="1" applyProtection="1">
      <alignment horizontal="center" shrinkToFit="1"/>
    </xf>
    <xf numFmtId="0" fontId="0" fillId="0" borderId="203" xfId="0" applyBorder="1" applyAlignment="1">
      <alignment horizontal="center" shrinkToFit="1"/>
    </xf>
    <xf numFmtId="0" fontId="0" fillId="0" borderId="130" xfId="0" applyBorder="1" applyAlignment="1">
      <alignment horizontal="center" shrinkToFit="1"/>
    </xf>
    <xf numFmtId="202" fontId="5" fillId="13" borderId="296" xfId="2" applyNumberFormat="1" applyFont="1" applyFill="1" applyBorder="1" applyAlignment="1" applyProtection="1">
      <alignment horizontal="center" vertical="center" wrapText="1"/>
      <protection locked="0"/>
    </xf>
    <xf numFmtId="202" fontId="5" fillId="13" borderId="371" xfId="2" applyNumberFormat="1" applyFont="1" applyFill="1" applyBorder="1" applyAlignment="1" applyProtection="1">
      <alignment horizontal="center" vertical="center" wrapText="1"/>
      <protection locked="0"/>
    </xf>
    <xf numFmtId="202" fontId="5" fillId="14" borderId="372" xfId="2" applyNumberFormat="1" applyFont="1" applyFill="1" applyBorder="1" applyAlignment="1" applyProtection="1">
      <alignment horizontal="center" vertical="center" wrapText="1"/>
      <protection locked="0"/>
    </xf>
    <xf numFmtId="202" fontId="5" fillId="14" borderId="371" xfId="2" applyNumberFormat="1" applyFont="1" applyFill="1" applyBorder="1" applyAlignment="1" applyProtection="1">
      <alignment horizontal="center" vertical="center" wrapText="1"/>
      <protection locked="0"/>
    </xf>
    <xf numFmtId="202" fontId="5" fillId="15" borderId="372" xfId="2" applyNumberFormat="1" applyFont="1" applyFill="1" applyBorder="1" applyAlignment="1" applyProtection="1">
      <alignment horizontal="center" vertical="center" wrapText="1"/>
      <protection locked="0"/>
    </xf>
    <xf numFmtId="202" fontId="5" fillId="15" borderId="371" xfId="2" applyNumberFormat="1" applyFont="1" applyFill="1" applyBorder="1" applyAlignment="1" applyProtection="1">
      <alignment horizontal="center" vertical="center" wrapText="1"/>
      <protection locked="0"/>
    </xf>
    <xf numFmtId="202" fontId="18" fillId="19" borderId="372" xfId="2" applyNumberFormat="1" applyFont="1" applyFill="1" applyBorder="1" applyAlignment="1" applyProtection="1">
      <alignment horizontal="center" vertical="center" wrapText="1"/>
      <protection locked="0"/>
    </xf>
    <xf numFmtId="202" fontId="18" fillId="19" borderId="371" xfId="2" applyNumberFormat="1" applyFont="1" applyFill="1" applyBorder="1" applyAlignment="1" applyProtection="1">
      <alignment horizontal="center" vertical="center" wrapText="1"/>
      <protection locked="0"/>
    </xf>
    <xf numFmtId="177" fontId="5" fillId="0" borderId="296" xfId="2" applyNumberFormat="1" applyFont="1" applyFill="1" applyBorder="1" applyAlignment="1" applyProtection="1">
      <alignment horizontal="right" shrinkToFit="1"/>
    </xf>
    <xf numFmtId="3" fontId="5" fillId="0" borderId="297" xfId="12" applyNumberFormat="1" applyFont="1" applyFill="1" applyBorder="1" applyAlignment="1" applyProtection="1">
      <alignment horizontal="right" shrinkToFit="1"/>
    </xf>
    <xf numFmtId="177" fontId="5" fillId="0" borderId="372" xfId="2" applyNumberFormat="1" applyFont="1" applyFill="1" applyBorder="1" applyAlignment="1" applyProtection="1">
      <alignment horizontal="right" shrinkToFit="1"/>
    </xf>
    <xf numFmtId="3" fontId="5" fillId="0" borderId="304" xfId="12" applyNumberFormat="1" applyFont="1" applyFill="1" applyBorder="1" applyAlignment="1" applyProtection="1">
      <alignment horizontal="right" shrinkToFit="1"/>
    </xf>
    <xf numFmtId="183" fontId="5" fillId="0" borderId="373" xfId="2" applyNumberFormat="1" applyFont="1" applyFill="1" applyBorder="1" applyAlignment="1" applyProtection="1">
      <alignment horizontal="right" shrinkToFit="1"/>
    </xf>
    <xf numFmtId="183" fontId="5" fillId="0" borderId="302" xfId="2" applyNumberFormat="1" applyFont="1" applyFill="1" applyBorder="1" applyAlignment="1" applyProtection="1">
      <alignment horizontal="right" shrinkToFit="1"/>
    </xf>
    <xf numFmtId="3" fontId="5" fillId="0" borderId="303" xfId="12" applyNumberFormat="1" applyFont="1" applyFill="1" applyBorder="1" applyAlignment="1" applyProtection="1">
      <alignment horizontal="right" shrinkToFit="1"/>
    </xf>
    <xf numFmtId="177" fontId="5" fillId="0" borderId="374" xfId="2" applyNumberFormat="1" applyFont="1" applyFill="1" applyBorder="1" applyAlignment="1" applyProtection="1">
      <alignment horizontal="right" shrinkToFit="1"/>
    </xf>
    <xf numFmtId="177" fontId="5" fillId="0" borderId="298" xfId="2" applyNumberFormat="1" applyFont="1" applyFill="1" applyBorder="1" applyAlignment="1" applyProtection="1">
      <alignment horizontal="right" shrinkToFit="1"/>
    </xf>
    <xf numFmtId="183" fontId="5" fillId="0" borderId="375" xfId="2" applyNumberFormat="1" applyFont="1" applyFill="1" applyBorder="1" applyAlignment="1" applyProtection="1">
      <alignment horizontal="right" shrinkToFit="1"/>
    </xf>
    <xf numFmtId="0" fontId="5" fillId="18" borderId="376" xfId="2" applyFont="1" applyFill="1" applyBorder="1" applyAlignment="1" applyProtection="1">
      <alignment horizontal="center" vertical="center" textRotation="255" shrinkToFit="1"/>
    </xf>
    <xf numFmtId="0" fontId="5" fillId="18" borderId="376" xfId="2" applyFont="1" applyFill="1" applyBorder="1" applyAlignment="1" applyProtection="1">
      <alignment horizontal="center" vertical="center" textRotation="255" wrapText="1" shrinkToFit="1"/>
    </xf>
    <xf numFmtId="177" fontId="5" fillId="0" borderId="373" xfId="2" applyNumberFormat="1" applyFont="1" applyFill="1" applyBorder="1" applyAlignment="1" applyProtection="1">
      <alignment horizontal="right" shrinkToFit="1"/>
    </xf>
    <xf numFmtId="3" fontId="5" fillId="0" borderId="377" xfId="12" applyNumberFormat="1" applyFont="1" applyFill="1" applyBorder="1" applyAlignment="1" applyProtection="1">
      <alignment horizontal="right" shrinkToFit="1"/>
    </xf>
    <xf numFmtId="177" fontId="5" fillId="0" borderId="378" xfId="2" applyNumberFormat="1" applyFont="1" applyFill="1" applyBorder="1" applyAlignment="1" applyProtection="1">
      <alignment horizontal="right" shrinkToFit="1"/>
    </xf>
    <xf numFmtId="177" fontId="5" fillId="0" borderId="302" xfId="2" applyNumberFormat="1" applyFont="1" applyFill="1" applyBorder="1" applyAlignment="1" applyProtection="1">
      <alignment horizontal="right" shrinkToFit="1"/>
    </xf>
    <xf numFmtId="3" fontId="5" fillId="0" borderId="379" xfId="12" applyNumberFormat="1" applyFont="1" applyFill="1" applyBorder="1" applyAlignment="1" applyProtection="1">
      <alignment horizontal="right" shrinkToFit="1"/>
    </xf>
    <xf numFmtId="183" fontId="5" fillId="0" borderId="378" xfId="2" applyNumberFormat="1" applyFont="1" applyFill="1" applyBorder="1" applyAlignment="1" applyProtection="1">
      <alignment horizontal="right" shrinkToFit="1"/>
    </xf>
    <xf numFmtId="3" fontId="5" fillId="0" borderId="380" xfId="12" applyNumberFormat="1" applyFont="1" applyFill="1" applyBorder="1" applyAlignment="1" applyProtection="1">
      <alignment horizontal="right" shrinkToFit="1"/>
    </xf>
    <xf numFmtId="202" fontId="5" fillId="13" borderId="377" xfId="2" applyNumberFormat="1" applyFont="1" applyFill="1" applyBorder="1" applyAlignment="1" applyProtection="1">
      <alignment horizontal="center" vertical="center" wrapText="1"/>
      <protection locked="0"/>
    </xf>
    <xf numFmtId="202" fontId="5" fillId="14" borderId="298" xfId="2" applyNumberFormat="1" applyFont="1" applyFill="1" applyBorder="1" applyAlignment="1" applyProtection="1">
      <alignment horizontal="center" vertical="center" wrapText="1"/>
      <protection locked="0"/>
    </xf>
    <xf numFmtId="202" fontId="5" fillId="14" borderId="377" xfId="2" applyNumberFormat="1" applyFont="1" applyFill="1" applyBorder="1" applyAlignment="1" applyProtection="1">
      <alignment horizontal="center" vertical="center" wrapText="1"/>
      <protection locked="0"/>
    </xf>
    <xf numFmtId="202" fontId="5" fillId="15" borderId="298" xfId="2" applyNumberFormat="1" applyFont="1" applyFill="1" applyBorder="1" applyAlignment="1" applyProtection="1">
      <alignment horizontal="center" vertical="center" wrapText="1"/>
      <protection locked="0"/>
    </xf>
    <xf numFmtId="202" fontId="5" fillId="15" borderId="377" xfId="2" applyNumberFormat="1" applyFont="1" applyFill="1" applyBorder="1" applyAlignment="1" applyProtection="1">
      <alignment horizontal="center" vertical="center" wrapText="1"/>
      <protection locked="0"/>
    </xf>
    <xf numFmtId="202" fontId="18" fillId="19" borderId="298" xfId="2" applyNumberFormat="1" applyFont="1" applyFill="1" applyBorder="1" applyAlignment="1" applyProtection="1">
      <alignment horizontal="center" vertical="center" wrapText="1"/>
      <protection locked="0"/>
    </xf>
    <xf numFmtId="202" fontId="18" fillId="19" borderId="377" xfId="2" applyNumberFormat="1" applyFont="1" applyFill="1" applyBorder="1" applyAlignment="1" applyProtection="1">
      <alignment horizontal="center" vertical="center" wrapText="1"/>
      <protection locked="0"/>
    </xf>
    <xf numFmtId="202" fontId="5" fillId="14" borderId="381" xfId="2" applyNumberFormat="1" applyFont="1" applyFill="1" applyBorder="1" applyAlignment="1" applyProtection="1">
      <alignment horizontal="center" vertical="center" wrapText="1"/>
      <protection locked="0"/>
    </xf>
    <xf numFmtId="202" fontId="5" fillId="15" borderId="381" xfId="2" applyNumberFormat="1" applyFont="1" applyFill="1" applyBorder="1" applyAlignment="1" applyProtection="1">
      <alignment horizontal="center" vertical="center" wrapText="1"/>
      <protection locked="0"/>
    </xf>
    <xf numFmtId="202" fontId="18" fillId="19" borderId="381" xfId="2" applyNumberFormat="1" applyFont="1" applyFill="1" applyBorder="1" applyAlignment="1" applyProtection="1">
      <alignment horizontal="center" vertical="center" wrapText="1"/>
      <protection locked="0"/>
    </xf>
    <xf numFmtId="177" fontId="5" fillId="0" borderId="381" xfId="2" applyNumberFormat="1" applyFont="1" applyFill="1" applyBorder="1" applyAlignment="1" applyProtection="1">
      <alignment horizontal="right" shrinkToFit="1"/>
    </xf>
    <xf numFmtId="0" fontId="5" fillId="18" borderId="382" xfId="2" applyFont="1" applyFill="1" applyBorder="1" applyAlignment="1" applyProtection="1">
      <alignment horizontal="center" vertical="center" textRotation="255" shrinkToFit="1"/>
    </xf>
    <xf numFmtId="0" fontId="5" fillId="18" borderId="382" xfId="2" applyFont="1" applyFill="1" applyBorder="1" applyAlignment="1" applyProtection="1">
      <alignment horizontal="center" vertical="center" textRotation="255" wrapText="1" shrinkToFit="1"/>
    </xf>
    <xf numFmtId="3" fontId="5" fillId="0" borderId="383" xfId="12" applyNumberFormat="1" applyFont="1" applyFill="1" applyBorder="1" applyAlignment="1" applyProtection="1">
      <alignment horizontal="right" shrinkToFit="1"/>
    </xf>
    <xf numFmtId="177" fontId="5" fillId="0" borderId="384" xfId="2" applyNumberFormat="1" applyFont="1" applyFill="1" applyBorder="1" applyAlignment="1" applyProtection="1">
      <alignment horizontal="right" shrinkToFit="1"/>
    </xf>
    <xf numFmtId="3" fontId="5" fillId="0" borderId="385" xfId="12" applyNumberFormat="1" applyFont="1" applyFill="1" applyBorder="1" applyAlignment="1" applyProtection="1">
      <alignment horizontal="right" shrinkToFit="1"/>
    </xf>
    <xf numFmtId="183" fontId="5" fillId="0" borderId="384" xfId="2" applyNumberFormat="1" applyFont="1" applyFill="1" applyBorder="1" applyAlignment="1" applyProtection="1">
      <alignment horizontal="right" shrinkToFit="1"/>
    </xf>
    <xf numFmtId="3" fontId="5" fillId="0" borderId="386" xfId="12" applyNumberFormat="1" applyFont="1" applyFill="1" applyBorder="1" applyAlignment="1" applyProtection="1">
      <alignment horizontal="right" shrinkToFit="1"/>
    </xf>
    <xf numFmtId="202" fontId="5" fillId="13" borderId="383" xfId="2" applyNumberFormat="1" applyFont="1" applyFill="1" applyBorder="1" applyAlignment="1" applyProtection="1">
      <alignment horizontal="center" vertical="center" wrapText="1"/>
      <protection locked="0"/>
    </xf>
    <xf numFmtId="202" fontId="5" fillId="14" borderId="383" xfId="2" applyNumberFormat="1" applyFont="1" applyFill="1" applyBorder="1" applyAlignment="1" applyProtection="1">
      <alignment horizontal="center" vertical="center" wrapText="1"/>
      <protection locked="0"/>
    </xf>
    <xf numFmtId="202" fontId="5" fillId="15" borderId="383" xfId="2" applyNumberFormat="1" applyFont="1" applyFill="1" applyBorder="1" applyAlignment="1" applyProtection="1">
      <alignment horizontal="center" vertical="center" wrapText="1"/>
      <protection locked="0"/>
    </xf>
    <xf numFmtId="202" fontId="18" fillId="19" borderId="383" xfId="2" applyNumberFormat="1" applyFont="1" applyFill="1" applyBorder="1" applyAlignment="1" applyProtection="1">
      <alignment horizontal="center" vertical="center" wrapText="1"/>
      <protection locked="0"/>
    </xf>
    <xf numFmtId="0" fontId="37" fillId="0" borderId="0" xfId="13" applyFont="1">
      <alignment vertical="center"/>
    </xf>
    <xf numFmtId="2" fontId="38" fillId="0" borderId="0" xfId="13" applyNumberFormat="1" applyFont="1">
      <alignment vertical="center"/>
    </xf>
    <xf numFmtId="0" fontId="38" fillId="0" borderId="0" xfId="13" applyFont="1">
      <alignment vertical="center"/>
    </xf>
    <xf numFmtId="0" fontId="38" fillId="0" borderId="0" xfId="13" applyFont="1" applyBorder="1">
      <alignment vertical="center"/>
    </xf>
    <xf numFmtId="0" fontId="5" fillId="0" borderId="0" xfId="14" applyFont="1"/>
    <xf numFmtId="2" fontId="40" fillId="0" borderId="0" xfId="14" applyNumberFormat="1" applyFont="1"/>
    <xf numFmtId="0" fontId="40" fillId="0" borderId="0" xfId="14" applyFont="1"/>
    <xf numFmtId="0" fontId="40" fillId="0" borderId="0" xfId="14" applyFont="1" applyBorder="1"/>
    <xf numFmtId="0" fontId="5" fillId="0" borderId="0" xfId="14" applyFont="1" applyAlignment="1" applyProtection="1">
      <alignment shrinkToFit="1"/>
    </xf>
    <xf numFmtId="0" fontId="5" fillId="0" borderId="0" xfId="14" applyFont="1" applyProtection="1"/>
    <xf numFmtId="0" fontId="5" fillId="0" borderId="0" xfId="14" applyFont="1" applyFill="1" applyBorder="1" applyAlignment="1" applyProtection="1">
      <alignment horizontal="center"/>
    </xf>
    <xf numFmtId="0" fontId="5" fillId="0" borderId="0" xfId="15" applyFont="1">
      <alignment vertical="center"/>
    </xf>
    <xf numFmtId="0" fontId="5" fillId="0" borderId="0" xfId="14" applyFont="1" applyFill="1" applyBorder="1" applyProtection="1"/>
    <xf numFmtId="228" fontId="5" fillId="0" borderId="129" xfId="14" applyNumberFormat="1" applyFont="1" applyBorder="1" applyAlignment="1" applyProtection="1">
      <alignment shrinkToFit="1"/>
      <protection locked="0"/>
    </xf>
    <xf numFmtId="3" fontId="18" fillId="0" borderId="128" xfId="14" applyNumberFormat="1" applyFont="1" applyBorder="1" applyAlignment="1" applyProtection="1">
      <alignment shrinkToFit="1"/>
      <protection locked="0"/>
    </xf>
    <xf numFmtId="3" fontId="5" fillId="0" borderId="128" xfId="14" applyNumberFormat="1" applyFont="1" applyFill="1" applyBorder="1" applyAlignment="1" applyProtection="1">
      <alignment shrinkToFit="1"/>
      <protection locked="0"/>
    </xf>
    <xf numFmtId="3" fontId="5" fillId="0" borderId="128" xfId="14" applyNumberFormat="1" applyFont="1" applyBorder="1" applyAlignment="1" applyProtection="1">
      <alignment shrinkToFit="1"/>
      <protection locked="0"/>
    </xf>
    <xf numFmtId="3" fontId="5" fillId="0" borderId="191" xfId="14" applyNumberFormat="1" applyFont="1" applyBorder="1" applyAlignment="1" applyProtection="1">
      <alignment shrinkToFit="1"/>
      <protection locked="0"/>
    </xf>
    <xf numFmtId="2" fontId="5" fillId="0" borderId="148" xfId="14" applyNumberFormat="1" applyFont="1" applyBorder="1" applyAlignment="1" applyProtection="1">
      <alignment shrinkToFit="1"/>
      <protection locked="0"/>
    </xf>
    <xf numFmtId="2" fontId="5" fillId="0" borderId="191" xfId="14" applyNumberFormat="1" applyFont="1" applyBorder="1" applyAlignment="1" applyProtection="1">
      <alignment shrinkToFit="1"/>
      <protection locked="0"/>
    </xf>
    <xf numFmtId="3" fontId="18" fillId="0" borderId="188" xfId="14" applyNumberFormat="1" applyFont="1" applyBorder="1" applyAlignment="1" applyProtection="1">
      <alignment shrinkToFit="1"/>
      <protection locked="0"/>
    </xf>
    <xf numFmtId="3" fontId="5" fillId="0" borderId="389" xfId="14" applyNumberFormat="1" applyFont="1" applyBorder="1" applyAlignment="1" applyProtection="1">
      <alignment shrinkToFit="1"/>
      <protection locked="0"/>
    </xf>
    <xf numFmtId="3" fontId="5" fillId="0" borderId="390" xfId="14" applyNumberFormat="1" applyFont="1" applyBorder="1" applyAlignment="1" applyProtection="1">
      <alignment shrinkToFit="1"/>
      <protection locked="0"/>
    </xf>
    <xf numFmtId="3" fontId="18" fillId="0" borderId="308" xfId="14" applyNumberFormat="1" applyFont="1" applyBorder="1" applyAlignment="1" applyProtection="1">
      <alignment shrinkToFit="1"/>
      <protection locked="0"/>
    </xf>
    <xf numFmtId="0" fontId="5" fillId="0" borderId="390" xfId="14" applyNumberFormat="1" applyFont="1" applyBorder="1" applyAlignment="1" applyProtection="1">
      <alignment horizontal="center" shrinkToFit="1"/>
      <protection locked="0"/>
    </xf>
    <xf numFmtId="240" fontId="5" fillId="0" borderId="188" xfId="14" applyNumberFormat="1" applyFont="1" applyBorder="1" applyAlignment="1" applyProtection="1">
      <alignment shrinkToFit="1"/>
      <protection locked="0"/>
    </xf>
    <xf numFmtId="240" fontId="5" fillId="0" borderId="128" xfId="14" applyNumberFormat="1" applyFont="1" applyBorder="1" applyAlignment="1" applyProtection="1">
      <alignment shrinkToFit="1"/>
      <protection locked="0"/>
    </xf>
    <xf numFmtId="241" fontId="5" fillId="0" borderId="128" xfId="14" applyNumberFormat="1" applyFont="1" applyBorder="1" applyAlignment="1" applyProtection="1">
      <alignment shrinkToFit="1"/>
      <protection locked="0"/>
    </xf>
    <xf numFmtId="0" fontId="5" fillId="0" borderId="69" xfId="14" applyNumberFormat="1" applyFont="1" applyBorder="1" applyAlignment="1" applyProtection="1">
      <alignment shrinkToFit="1"/>
      <protection locked="0"/>
    </xf>
    <xf numFmtId="0" fontId="5" fillId="0" borderId="389" xfId="14" applyNumberFormat="1" applyFont="1" applyBorder="1" applyAlignment="1" applyProtection="1">
      <alignment horizontal="center" shrinkToFit="1"/>
      <protection locked="0"/>
    </xf>
    <xf numFmtId="0" fontId="5" fillId="0" borderId="391" xfId="14" applyNumberFormat="1" applyFont="1" applyBorder="1" applyAlignment="1" applyProtection="1">
      <alignment horizontal="center" shrinkToFit="1"/>
      <protection locked="0"/>
    </xf>
    <xf numFmtId="228" fontId="5" fillId="0" borderId="192" xfId="14" applyNumberFormat="1" applyFont="1" applyBorder="1" applyAlignment="1" applyProtection="1">
      <alignment shrinkToFit="1"/>
      <protection locked="0"/>
    </xf>
    <xf numFmtId="3" fontId="18" fillId="0" borderId="64" xfId="14" applyNumberFormat="1" applyFont="1" applyBorder="1" applyAlignment="1" applyProtection="1">
      <alignment shrinkToFit="1"/>
      <protection locked="0"/>
    </xf>
    <xf numFmtId="3" fontId="5" fillId="0" borderId="64" xfId="14" applyNumberFormat="1" applyFont="1" applyFill="1" applyBorder="1" applyAlignment="1" applyProtection="1">
      <alignment shrinkToFit="1"/>
      <protection locked="0"/>
    </xf>
    <xf numFmtId="3" fontId="5" fillId="0" borderId="64" xfId="14" applyNumberFormat="1" applyFont="1" applyBorder="1" applyAlignment="1" applyProtection="1">
      <alignment shrinkToFit="1"/>
      <protection locked="0"/>
    </xf>
    <xf numFmtId="3" fontId="5" fillId="0" borderId="351" xfId="14" applyNumberFormat="1" applyFont="1" applyBorder="1" applyAlignment="1" applyProtection="1">
      <alignment shrinkToFit="1"/>
      <protection locked="0"/>
    </xf>
    <xf numFmtId="2" fontId="5" fillId="0" borderId="350" xfId="14" applyNumberFormat="1" applyFont="1" applyBorder="1" applyAlignment="1" applyProtection="1">
      <alignment shrinkToFit="1"/>
      <protection locked="0"/>
    </xf>
    <xf numFmtId="2" fontId="5" fillId="0" borderId="351" xfId="14" applyNumberFormat="1" applyFont="1" applyBorder="1" applyAlignment="1" applyProtection="1">
      <alignment shrinkToFit="1"/>
      <protection locked="0"/>
    </xf>
    <xf numFmtId="3" fontId="18" fillId="0" borderId="77" xfId="14" applyNumberFormat="1" applyFont="1" applyBorder="1" applyAlignment="1" applyProtection="1">
      <alignment shrinkToFit="1"/>
      <protection locked="0"/>
    </xf>
    <xf numFmtId="3" fontId="5" fillId="0" borderId="65" xfId="14" applyNumberFormat="1" applyFont="1" applyBorder="1" applyAlignment="1" applyProtection="1">
      <alignment shrinkToFit="1"/>
      <protection locked="0"/>
    </xf>
    <xf numFmtId="3" fontId="5" fillId="0" borderId="392" xfId="14" applyNumberFormat="1" applyFont="1" applyBorder="1" applyAlignment="1" applyProtection="1">
      <alignment shrinkToFit="1"/>
      <protection locked="0"/>
    </xf>
    <xf numFmtId="3" fontId="18" fillId="0" borderId="352" xfId="14" applyNumberFormat="1" applyFont="1" applyBorder="1" applyAlignment="1" applyProtection="1">
      <alignment shrinkToFit="1"/>
      <protection locked="0"/>
    </xf>
    <xf numFmtId="0" fontId="5" fillId="0" borderId="392" xfId="14" applyNumberFormat="1" applyFont="1" applyBorder="1" applyAlignment="1" applyProtection="1">
      <alignment horizontal="center" shrinkToFit="1"/>
      <protection locked="0"/>
    </xf>
    <xf numFmtId="240" fontId="5" fillId="0" borderId="77" xfId="14" applyNumberFormat="1" applyFont="1" applyBorder="1" applyAlignment="1" applyProtection="1">
      <alignment shrinkToFit="1"/>
      <protection locked="0"/>
    </xf>
    <xf numFmtId="240" fontId="5" fillId="0" borderId="64" xfId="14" applyNumberFormat="1" applyFont="1" applyBorder="1" applyAlignment="1" applyProtection="1">
      <alignment shrinkToFit="1"/>
      <protection locked="0"/>
    </xf>
    <xf numFmtId="241" fontId="5" fillId="0" borderId="64" xfId="14" applyNumberFormat="1" applyFont="1" applyBorder="1" applyAlignment="1" applyProtection="1">
      <alignment shrinkToFit="1"/>
      <protection locked="0"/>
    </xf>
    <xf numFmtId="0" fontId="5" fillId="0" borderId="65" xfId="14" applyNumberFormat="1" applyFont="1" applyBorder="1" applyAlignment="1" applyProtection="1">
      <alignment shrinkToFit="1"/>
      <protection locked="0"/>
    </xf>
    <xf numFmtId="0" fontId="5" fillId="0" borderId="65" xfId="14" applyNumberFormat="1" applyFont="1" applyBorder="1" applyAlignment="1" applyProtection="1">
      <alignment horizontal="center" shrinkToFit="1"/>
      <protection locked="0"/>
    </xf>
    <xf numFmtId="0" fontId="5" fillId="0" borderId="393" xfId="14" applyNumberFormat="1" applyFont="1" applyBorder="1" applyAlignment="1" applyProtection="1">
      <alignment horizontal="center" shrinkToFit="1"/>
      <protection locked="0"/>
    </xf>
    <xf numFmtId="2" fontId="5" fillId="12" borderId="16" xfId="14" applyNumberFormat="1" applyFont="1" applyFill="1" applyBorder="1" applyAlignment="1" applyProtection="1">
      <alignment horizontal="center" vertical="center" wrapText="1" shrinkToFit="1"/>
      <protection locked="0"/>
    </xf>
    <xf numFmtId="2" fontId="5" fillId="12" borderId="14" xfId="14" applyNumberFormat="1" applyFont="1" applyFill="1" applyBorder="1" applyAlignment="1" applyProtection="1">
      <alignment horizontal="center" vertical="center" wrapText="1" shrinkToFit="1"/>
      <protection locked="0"/>
    </xf>
    <xf numFmtId="0" fontId="38" fillId="7" borderId="16" xfId="13" applyFont="1" applyFill="1" applyBorder="1" applyAlignment="1">
      <alignment horizontal="center" vertical="center" shrinkToFit="1"/>
    </xf>
    <xf numFmtId="0" fontId="38" fillId="7" borderId="15" xfId="13" applyFont="1" applyFill="1" applyBorder="1" applyAlignment="1">
      <alignment horizontal="center" vertical="center" shrinkToFit="1"/>
    </xf>
    <xf numFmtId="0" fontId="38" fillId="7" borderId="14" xfId="13" applyFont="1" applyFill="1" applyBorder="1" applyAlignment="1">
      <alignment horizontal="center" vertical="center" shrinkToFit="1"/>
    </xf>
    <xf numFmtId="0" fontId="38" fillId="7" borderId="394" xfId="13" applyFont="1" applyFill="1" applyBorder="1" applyAlignment="1">
      <alignment horizontal="center" vertical="center" shrinkToFit="1"/>
    </xf>
    <xf numFmtId="0" fontId="38" fillId="7" borderId="49" xfId="13" applyFont="1" applyFill="1" applyBorder="1" applyAlignment="1">
      <alignment horizontal="center" vertical="center" shrinkToFit="1"/>
    </xf>
    <xf numFmtId="0" fontId="5" fillId="3" borderId="46" xfId="14" applyNumberFormat="1" applyFont="1" applyFill="1" applyBorder="1" applyAlignment="1" applyProtection="1">
      <alignment horizontal="center" vertical="center" wrapText="1" shrinkToFit="1"/>
      <protection locked="0"/>
    </xf>
    <xf numFmtId="0" fontId="5" fillId="3" borderId="62" xfId="14" applyNumberFormat="1" applyFont="1" applyFill="1" applyBorder="1" applyAlignment="1" applyProtection="1">
      <alignment horizontal="center" vertical="center" shrinkToFit="1"/>
      <protection locked="0"/>
    </xf>
    <xf numFmtId="0" fontId="5" fillId="3" borderId="62" xfId="14" applyNumberFormat="1" applyFont="1" applyFill="1" applyBorder="1" applyAlignment="1" applyProtection="1">
      <alignment horizontal="center" vertical="center" wrapText="1" shrinkToFit="1"/>
      <protection locked="0"/>
    </xf>
    <xf numFmtId="0" fontId="5" fillId="3" borderId="254" xfId="14" applyNumberFormat="1" applyFont="1" applyFill="1" applyBorder="1" applyAlignment="1" applyProtection="1">
      <alignment horizontal="center" vertical="center" wrapText="1" shrinkToFit="1"/>
      <protection locked="0"/>
    </xf>
    <xf numFmtId="0" fontId="5" fillId="3" borderId="159" xfId="14" applyNumberFormat="1" applyFont="1" applyFill="1" applyBorder="1" applyAlignment="1" applyProtection="1">
      <alignment horizontal="center" vertical="center" wrapText="1"/>
      <protection locked="0"/>
    </xf>
    <xf numFmtId="0" fontId="5" fillId="3" borderId="355" xfId="14" applyNumberFormat="1" applyFont="1" applyFill="1" applyBorder="1" applyAlignment="1" applyProtection="1">
      <alignment horizontal="center" vertical="center" wrapText="1"/>
      <protection locked="0"/>
    </xf>
    <xf numFmtId="0" fontId="5" fillId="3" borderId="205" xfId="14" applyNumberFormat="1" applyFont="1" applyFill="1" applyBorder="1" applyAlignment="1" applyProtection="1">
      <alignment horizontal="center" vertical="center" shrinkToFit="1"/>
      <protection locked="0"/>
    </xf>
    <xf numFmtId="0" fontId="5" fillId="3" borderId="387" xfId="14" applyNumberFormat="1" applyFont="1" applyFill="1" applyBorder="1" applyAlignment="1" applyProtection="1">
      <alignment horizontal="center" vertical="center"/>
      <protection locked="0"/>
    </xf>
    <xf numFmtId="0" fontId="5" fillId="3" borderId="40" xfId="14" applyNumberFormat="1" applyFont="1" applyFill="1" applyBorder="1" applyAlignment="1" applyProtection="1">
      <alignment horizontal="center" vertical="center" shrinkToFit="1"/>
      <protection locked="0"/>
    </xf>
    <xf numFmtId="0" fontId="5" fillId="3" borderId="40" xfId="14" applyFont="1" applyFill="1" applyBorder="1" applyAlignment="1" applyProtection="1">
      <alignment horizontal="center" vertical="center" shrinkToFit="1"/>
      <protection locked="0"/>
    </xf>
    <xf numFmtId="0" fontId="5" fillId="3" borderId="388" xfId="14" applyNumberFormat="1" applyFont="1" applyFill="1" applyBorder="1" applyAlignment="1" applyProtection="1">
      <alignment horizontal="center" vertical="center" wrapText="1"/>
      <protection locked="0"/>
    </xf>
    <xf numFmtId="0" fontId="5" fillId="3" borderId="312" xfId="14" applyNumberFormat="1" applyFont="1" applyFill="1" applyBorder="1" applyAlignment="1" applyProtection="1">
      <alignment horizontal="center" vertical="center" shrinkToFit="1"/>
      <protection locked="0"/>
    </xf>
    <xf numFmtId="0" fontId="5" fillId="3" borderId="388" xfId="14" applyNumberFormat="1" applyFont="1" applyFill="1" applyBorder="1" applyAlignment="1" applyProtection="1">
      <alignment horizontal="center" vertical="center" wrapText="1" shrinkToFit="1"/>
      <protection locked="0"/>
    </xf>
    <xf numFmtId="0" fontId="5" fillId="3" borderId="312" xfId="14" applyNumberFormat="1" applyFont="1" applyFill="1" applyBorder="1" applyAlignment="1" applyProtection="1">
      <alignment horizontal="center" vertical="center" wrapText="1" shrinkToFit="1"/>
      <protection locked="0"/>
    </xf>
    <xf numFmtId="0" fontId="5" fillId="3" borderId="62" xfId="14" applyFont="1" applyFill="1" applyBorder="1" applyAlignment="1" applyProtection="1">
      <alignment horizontal="center" vertical="center" wrapText="1" shrinkToFit="1"/>
      <protection locked="0"/>
    </xf>
    <xf numFmtId="0" fontId="5" fillId="3" borderId="62" xfId="14" applyFont="1" applyFill="1" applyBorder="1" applyAlignment="1" applyProtection="1">
      <alignment horizontal="center" vertical="center" shrinkToFit="1"/>
      <protection locked="0"/>
    </xf>
    <xf numFmtId="0" fontId="5" fillId="3" borderId="100" xfId="14" applyFont="1" applyFill="1" applyBorder="1" applyAlignment="1" applyProtection="1">
      <alignment horizontal="center" vertical="center"/>
      <protection locked="0"/>
    </xf>
    <xf numFmtId="2" fontId="5" fillId="12" borderId="274" xfId="14" applyNumberFormat="1" applyFont="1" applyFill="1" applyBorder="1" applyAlignment="1" applyProtection="1">
      <alignment horizontal="center" vertical="center" wrapText="1" shrinkToFit="1"/>
      <protection locked="0"/>
    </xf>
    <xf numFmtId="2" fontId="5" fillId="12" borderId="323" xfId="14" applyNumberFormat="1" applyFont="1" applyFill="1" applyBorder="1" applyAlignment="1" applyProtection="1">
      <alignment horizontal="center" vertical="center" wrapText="1" shrinkToFit="1"/>
      <protection locked="0"/>
    </xf>
    <xf numFmtId="0" fontId="38" fillId="7" borderId="395" xfId="13" applyFont="1" applyFill="1" applyBorder="1" applyAlignment="1">
      <alignment horizontal="center" vertical="center" shrinkToFit="1"/>
    </xf>
    <xf numFmtId="0" fontId="38" fillId="7" borderId="396" xfId="13" applyFont="1" applyFill="1" applyBorder="1" applyAlignment="1">
      <alignment horizontal="center" vertical="center" shrinkToFit="1"/>
    </xf>
    <xf numFmtId="0" fontId="38" fillId="7" borderId="397" xfId="13" applyFont="1" applyFill="1" applyBorder="1" applyAlignment="1">
      <alignment horizontal="center" vertical="center" shrinkToFit="1"/>
    </xf>
    <xf numFmtId="0" fontId="38" fillId="7" borderId="398" xfId="13" applyFont="1" applyFill="1" applyBorder="1" applyAlignment="1">
      <alignment horizontal="center" vertical="center" shrinkToFit="1"/>
    </xf>
    <xf numFmtId="0" fontId="38" fillId="7" borderId="399" xfId="13" applyFont="1" applyFill="1" applyBorder="1" applyAlignment="1">
      <alignment horizontal="center" vertical="center" shrinkToFit="1"/>
    </xf>
    <xf numFmtId="0" fontId="5" fillId="3" borderId="400" xfId="14" applyNumberFormat="1" applyFont="1" applyFill="1" applyBorder="1" applyAlignment="1" applyProtection="1">
      <alignment horizontal="center" vertical="center" wrapText="1" shrinkToFit="1"/>
      <protection locked="0"/>
    </xf>
    <xf numFmtId="0" fontId="5" fillId="3" borderId="148" xfId="14" applyNumberFormat="1" applyFont="1" applyFill="1" applyBorder="1" applyAlignment="1" applyProtection="1">
      <alignment horizontal="center" vertical="center" wrapText="1"/>
      <protection locked="0"/>
    </xf>
    <xf numFmtId="0" fontId="5" fillId="3" borderId="147" xfId="14" applyNumberFormat="1" applyFont="1" applyFill="1" applyBorder="1" applyAlignment="1" applyProtection="1">
      <alignment horizontal="center" vertical="center" wrapText="1"/>
      <protection locked="0"/>
    </xf>
    <xf numFmtId="0" fontId="5" fillId="3" borderId="215" xfId="14" applyNumberFormat="1" applyFont="1" applyFill="1" applyBorder="1" applyAlignment="1" applyProtection="1">
      <alignment horizontal="center" vertical="center" wrapText="1" shrinkToFit="1"/>
      <protection locked="0"/>
    </xf>
    <xf numFmtId="0" fontId="5" fillId="3" borderId="400" xfId="14" applyNumberFormat="1" applyFont="1" applyFill="1" applyBorder="1" applyAlignment="1" applyProtection="1">
      <alignment horizontal="center" vertical="center" wrapText="1"/>
      <protection locked="0"/>
    </xf>
    <xf numFmtId="0" fontId="5" fillId="3" borderId="401" xfId="14" applyNumberFormat="1" applyFont="1" applyFill="1" applyBorder="1" applyAlignment="1" applyProtection="1">
      <alignment horizontal="center" vertical="center" wrapText="1"/>
      <protection locked="0"/>
    </xf>
    <xf numFmtId="0" fontId="5" fillId="3" borderId="402" xfId="14" applyNumberFormat="1" applyFont="1" applyFill="1" applyBorder="1" applyAlignment="1" applyProtection="1">
      <alignment horizontal="center" vertical="center" wrapText="1" shrinkToFit="1"/>
      <protection locked="0"/>
    </xf>
    <xf numFmtId="0" fontId="5" fillId="3" borderId="401" xfId="14" applyNumberFormat="1" applyFont="1" applyFill="1" applyBorder="1" applyAlignment="1" applyProtection="1">
      <alignment horizontal="center" vertical="center" wrapText="1" shrinkToFit="1"/>
      <protection locked="0"/>
    </xf>
    <xf numFmtId="2" fontId="38" fillId="7" borderId="57" xfId="13" applyNumberFormat="1" applyFont="1" applyFill="1" applyBorder="1" applyAlignment="1">
      <alignment horizontal="center" vertical="center" wrapText="1"/>
    </xf>
    <xf numFmtId="2" fontId="38" fillId="7" borderId="97" xfId="13" applyNumberFormat="1" applyFont="1" applyFill="1" applyBorder="1" applyAlignment="1">
      <alignment horizontal="center" vertical="center" wrapText="1"/>
    </xf>
    <xf numFmtId="0" fontId="38" fillId="21" borderId="0" xfId="13" applyFont="1" applyFill="1" applyBorder="1" applyAlignment="1">
      <alignment horizontal="center" vertical="center" shrinkToFit="1"/>
    </xf>
    <xf numFmtId="0" fontId="38" fillId="22" borderId="0" xfId="13" applyFont="1" applyFill="1" applyBorder="1" applyAlignment="1">
      <alignment horizontal="center" vertical="center" shrinkToFit="1"/>
    </xf>
    <xf numFmtId="0" fontId="5" fillId="3" borderId="27" xfId="14" applyNumberFormat="1" applyFont="1" applyFill="1" applyBorder="1" applyAlignment="1" applyProtection="1">
      <alignment horizontal="center" vertical="center" wrapText="1" shrinkToFit="1"/>
      <protection locked="0"/>
    </xf>
    <xf numFmtId="0" fontId="5" fillId="3" borderId="99" xfId="14" applyNumberFormat="1" applyFont="1" applyFill="1" applyBorder="1" applyAlignment="1" applyProtection="1">
      <alignment horizontal="center"/>
      <protection locked="0"/>
    </xf>
    <xf numFmtId="0" fontId="5" fillId="3" borderId="84" xfId="14" applyNumberFormat="1" applyFont="1" applyFill="1" applyBorder="1" applyAlignment="1" applyProtection="1">
      <alignment horizontal="center"/>
      <protection locked="0"/>
    </xf>
    <xf numFmtId="0" fontId="5" fillId="3" borderId="142" xfId="14" applyNumberFormat="1" applyFont="1" applyFill="1" applyBorder="1" applyAlignment="1" applyProtection="1">
      <alignment horizontal="center"/>
      <protection locked="0"/>
    </xf>
    <xf numFmtId="0" fontId="5" fillId="3" borderId="137" xfId="14" applyNumberFormat="1" applyFont="1" applyFill="1" applyBorder="1" applyAlignment="1" applyProtection="1">
      <alignment horizontal="center" vertical="center" wrapText="1"/>
      <protection locked="0"/>
    </xf>
    <xf numFmtId="0" fontId="5" fillId="3" borderId="138" xfId="14" applyNumberFormat="1" applyFont="1" applyFill="1" applyBorder="1" applyAlignment="1" applyProtection="1">
      <alignment horizontal="center" vertical="center" wrapText="1"/>
      <protection locked="0"/>
    </xf>
    <xf numFmtId="0" fontId="5" fillId="3" borderId="403" xfId="14" applyNumberFormat="1" applyFont="1" applyFill="1" applyBorder="1" applyAlignment="1" applyProtection="1">
      <alignment horizontal="center"/>
      <protection locked="0"/>
    </xf>
    <xf numFmtId="0" fontId="5" fillId="3" borderId="404" xfId="14" applyNumberFormat="1" applyFont="1" applyFill="1" applyBorder="1" applyAlignment="1" applyProtection="1">
      <alignment horizontal="center" vertical="center" wrapText="1"/>
      <protection locked="0"/>
    </xf>
    <xf numFmtId="0" fontId="5" fillId="3" borderId="404" xfId="14" applyNumberFormat="1" applyFont="1" applyFill="1" applyBorder="1" applyAlignment="1" applyProtection="1">
      <alignment horizontal="center" vertical="center" wrapText="1" shrinkToFit="1"/>
      <protection locked="0"/>
    </xf>
    <xf numFmtId="0" fontId="5" fillId="3" borderId="135" xfId="14" applyNumberFormat="1" applyFont="1" applyFill="1" applyBorder="1" applyAlignment="1" applyProtection="1">
      <alignment horizontal="center" vertical="center" wrapText="1" shrinkToFit="1"/>
      <protection locked="0"/>
    </xf>
    <xf numFmtId="0" fontId="5" fillId="3" borderId="26" xfId="14" applyFont="1" applyFill="1" applyBorder="1" applyAlignment="1" applyProtection="1">
      <alignment horizontal="center" vertical="center" wrapText="1" shrinkToFit="1"/>
      <protection locked="0"/>
    </xf>
    <xf numFmtId="0" fontId="5" fillId="3" borderId="26" xfId="14" applyFont="1" applyFill="1" applyBorder="1" applyAlignment="1" applyProtection="1">
      <alignment horizontal="center" vertical="center" shrinkToFit="1"/>
      <protection locked="0"/>
    </xf>
    <xf numFmtId="0" fontId="5" fillId="3" borderId="134" xfId="14" applyFont="1" applyFill="1" applyBorder="1" applyAlignment="1" applyProtection="1">
      <alignment horizontal="center" vertical="center"/>
      <protection locked="0"/>
    </xf>
    <xf numFmtId="2" fontId="38" fillId="7" borderId="38" xfId="13" applyNumberFormat="1" applyFont="1" applyFill="1" applyBorder="1" applyAlignment="1">
      <alignment horizontal="center" vertical="center" wrapText="1"/>
    </xf>
    <xf numFmtId="2" fontId="38" fillId="7" borderId="96" xfId="13" applyNumberFormat="1" applyFont="1" applyFill="1" applyBorder="1" applyAlignment="1">
      <alignment horizontal="center" vertical="center" wrapText="1"/>
    </xf>
    <xf numFmtId="0" fontId="38" fillId="7" borderId="57" xfId="13" applyFont="1" applyFill="1" applyBorder="1" applyAlignment="1">
      <alignment horizontal="center" vertical="center" shrinkToFit="1"/>
    </xf>
    <xf numFmtId="0" fontId="38" fillId="7" borderId="56" xfId="13" applyFont="1" applyFill="1" applyBorder="1" applyAlignment="1">
      <alignment horizontal="center" vertical="center" shrinkToFit="1"/>
    </xf>
    <xf numFmtId="0" fontId="38" fillId="7" borderId="13" xfId="13" applyFont="1" applyFill="1" applyBorder="1" applyAlignment="1">
      <alignment horizontal="center" vertical="center" shrinkToFit="1"/>
    </xf>
    <xf numFmtId="0" fontId="38" fillId="7" borderId="12" xfId="13" applyFont="1" applyFill="1" applyBorder="1" applyAlignment="1">
      <alignment horizontal="center" vertical="center" shrinkToFit="1"/>
    </xf>
    <xf numFmtId="0" fontId="38" fillId="7" borderId="11" xfId="13" applyFont="1" applyFill="1" applyBorder="1" applyAlignment="1">
      <alignment horizontal="center" vertical="center" shrinkToFit="1"/>
    </xf>
    <xf numFmtId="0" fontId="5" fillId="0" borderId="0" xfId="14" applyFont="1" applyAlignment="1">
      <alignment horizontal="right" vertical="center"/>
    </xf>
    <xf numFmtId="2" fontId="38" fillId="7" borderId="176" xfId="13" applyNumberFormat="1" applyFont="1" applyFill="1" applyBorder="1" applyAlignment="1">
      <alignment horizontal="center" vertical="center" wrapText="1"/>
    </xf>
    <xf numFmtId="2" fontId="38" fillId="7" borderId="169" xfId="13" applyNumberFormat="1" applyFont="1" applyFill="1" applyBorder="1" applyAlignment="1">
      <alignment horizontal="center" vertical="center" wrapText="1"/>
    </xf>
    <xf numFmtId="0" fontId="38" fillId="7" borderId="176" xfId="13" applyFont="1" applyFill="1" applyBorder="1" applyAlignment="1">
      <alignment horizontal="center" vertical="center" shrinkToFit="1"/>
    </xf>
    <xf numFmtId="0" fontId="38" fillId="7" borderId="170" xfId="13" applyFont="1" applyFill="1" applyBorder="1" applyAlignment="1">
      <alignment horizontal="center" vertical="center" shrinkToFit="1"/>
    </xf>
    <xf numFmtId="0" fontId="38" fillId="7" borderId="250" xfId="13" applyFont="1" applyFill="1" applyBorder="1" applyAlignment="1">
      <alignment horizontal="center" vertical="center" shrinkToFit="1"/>
    </xf>
    <xf numFmtId="0" fontId="38" fillId="7" borderId="405" xfId="13" applyFont="1" applyFill="1" applyBorder="1" applyAlignment="1">
      <alignment horizontal="center" vertical="center" shrinkToFit="1"/>
    </xf>
    <xf numFmtId="0" fontId="38" fillId="7" borderId="406" xfId="13" applyFont="1" applyFill="1" applyBorder="1" applyAlignment="1">
      <alignment horizontal="center" vertical="center" shrinkToFit="1"/>
    </xf>
    <xf numFmtId="0" fontId="41" fillId="0" borderId="0" xfId="13" applyFont="1">
      <alignment vertical="center"/>
    </xf>
    <xf numFmtId="2" fontId="42" fillId="0" borderId="0" xfId="13" applyNumberFormat="1" applyFont="1">
      <alignment vertical="center"/>
    </xf>
    <xf numFmtId="0" fontId="42" fillId="0" borderId="0" xfId="13" applyFont="1">
      <alignment vertical="center"/>
    </xf>
    <xf numFmtId="0" fontId="42" fillId="0" borderId="0" xfId="13" applyFont="1" applyBorder="1">
      <alignment vertical="center"/>
    </xf>
    <xf numFmtId="0" fontId="43" fillId="0" borderId="0" xfId="13" applyFont="1" applyBorder="1">
      <alignment vertical="center"/>
    </xf>
    <xf numFmtId="0" fontId="11" fillId="2" borderId="4" xfId="14" applyFont="1" applyFill="1" applyBorder="1"/>
    <xf numFmtId="0" fontId="11" fillId="2" borderId="3" xfId="14" applyFont="1" applyFill="1" applyBorder="1"/>
    <xf numFmtId="0" fontId="11" fillId="2" borderId="3" xfId="14" applyNumberFormat="1" applyFont="1" applyFill="1" applyBorder="1" applyProtection="1">
      <protection locked="0"/>
    </xf>
    <xf numFmtId="242" fontId="11" fillId="2" borderId="3" xfId="14" applyNumberFormat="1" applyFont="1" applyFill="1" applyBorder="1" applyAlignment="1" applyProtection="1">
      <alignment horizontal="left"/>
      <protection locked="0"/>
    </xf>
    <xf numFmtId="0" fontId="11" fillId="2" borderId="3" xfId="14" applyFont="1" applyFill="1" applyBorder="1" applyProtection="1">
      <protection locked="0"/>
    </xf>
    <xf numFmtId="193" fontId="6" fillId="2" borderId="3" xfId="14" applyNumberFormat="1" applyFont="1" applyFill="1" applyBorder="1" applyProtection="1">
      <protection locked="0"/>
    </xf>
    <xf numFmtId="193" fontId="11" fillId="2" borderId="3" xfId="14" applyNumberFormat="1" applyFont="1" applyFill="1" applyBorder="1" applyProtection="1">
      <protection locked="0"/>
    </xf>
    <xf numFmtId="0" fontId="6" fillId="2" borderId="2" xfId="14" applyNumberFormat="1" applyFont="1" applyFill="1" applyBorder="1" applyAlignment="1" applyProtection="1">
      <alignment horizontal="left" vertical="center" indent="1"/>
      <protection locked="0"/>
    </xf>
    <xf numFmtId="0" fontId="5" fillId="0" borderId="100" xfId="14" applyNumberFormat="1" applyFont="1" applyBorder="1" applyAlignment="1" applyProtection="1">
      <alignment horizontal="center" shrinkToFit="1"/>
      <protection locked="0"/>
    </xf>
    <xf numFmtId="0" fontId="5" fillId="0" borderId="62" xfId="14" applyNumberFormat="1" applyFont="1" applyBorder="1" applyAlignment="1" applyProtection="1">
      <alignment horizontal="center" shrinkToFit="1"/>
      <protection locked="0"/>
    </xf>
    <xf numFmtId="0" fontId="5" fillId="0" borderId="400" xfId="14" applyNumberFormat="1" applyFont="1" applyBorder="1" applyAlignment="1" applyProtection="1">
      <alignment shrinkToFit="1"/>
      <protection locked="0"/>
    </xf>
    <xf numFmtId="241" fontId="5" fillId="0" borderId="40" xfId="14" applyNumberFormat="1" applyFont="1" applyBorder="1" applyAlignment="1" applyProtection="1">
      <alignment shrinkToFit="1"/>
      <protection locked="0"/>
    </xf>
    <xf numFmtId="240" fontId="5" fillId="0" borderId="40" xfId="14" applyNumberFormat="1" applyFont="1" applyBorder="1" applyAlignment="1" applyProtection="1">
      <alignment shrinkToFit="1"/>
      <protection locked="0"/>
    </xf>
    <xf numFmtId="240" fontId="5" fillId="0" borderId="0" xfId="14" applyNumberFormat="1" applyFont="1" applyBorder="1" applyAlignment="1" applyProtection="1">
      <alignment shrinkToFit="1"/>
      <protection locked="0"/>
    </xf>
    <xf numFmtId="0" fontId="5" fillId="0" borderId="401" xfId="14" applyNumberFormat="1" applyFont="1" applyBorder="1" applyAlignment="1" applyProtection="1">
      <alignment horizontal="center" shrinkToFit="1"/>
      <protection locked="0"/>
    </xf>
    <xf numFmtId="3" fontId="5" fillId="0" borderId="254" xfId="14" applyNumberFormat="1" applyFont="1" applyBorder="1" applyAlignment="1" applyProtection="1">
      <alignment shrinkToFit="1"/>
      <protection locked="0"/>
    </xf>
    <xf numFmtId="3" fontId="5" fillId="0" borderId="40" xfId="14" applyNumberFormat="1" applyFont="1" applyBorder="1" applyAlignment="1" applyProtection="1">
      <alignment shrinkToFit="1"/>
      <protection locked="0"/>
    </xf>
    <xf numFmtId="3" fontId="18" fillId="0" borderId="40" xfId="14" applyNumberFormat="1" applyFont="1" applyBorder="1" applyAlignment="1" applyProtection="1">
      <alignment shrinkToFit="1"/>
      <protection locked="0"/>
    </xf>
    <xf numFmtId="3" fontId="18" fillId="0" borderId="312" xfId="14" applyNumberFormat="1" applyFont="1" applyBorder="1" applyAlignment="1" applyProtection="1">
      <alignment shrinkToFit="1"/>
      <protection locked="0"/>
    </xf>
    <xf numFmtId="3" fontId="5" fillId="0" borderId="401" xfId="14" applyNumberFormat="1" applyFont="1" applyBorder="1" applyAlignment="1" applyProtection="1">
      <alignment shrinkToFit="1"/>
      <protection locked="0"/>
    </xf>
    <xf numFmtId="3" fontId="5" fillId="0" borderId="62" xfId="14" applyNumberFormat="1" applyFont="1" applyBorder="1" applyAlignment="1" applyProtection="1">
      <alignment shrinkToFit="1"/>
      <protection locked="0"/>
    </xf>
    <xf numFmtId="3" fontId="18" fillId="0" borderId="0" xfId="14" applyNumberFormat="1" applyFont="1" applyBorder="1" applyAlignment="1" applyProtection="1">
      <alignment shrinkToFit="1"/>
      <protection locked="0"/>
    </xf>
    <xf numFmtId="2" fontId="5" fillId="0" borderId="254" xfId="14" applyNumberFormat="1" applyFont="1" applyBorder="1" applyAlignment="1" applyProtection="1">
      <alignment shrinkToFit="1"/>
      <protection locked="0"/>
    </xf>
    <xf numFmtId="2" fontId="5" fillId="0" borderId="205" xfId="14" applyNumberFormat="1" applyFont="1" applyBorder="1" applyAlignment="1" applyProtection="1">
      <alignment shrinkToFit="1"/>
      <protection locked="0"/>
    </xf>
    <xf numFmtId="3" fontId="5" fillId="0" borderId="40" xfId="14" applyNumberFormat="1" applyFont="1" applyFill="1" applyBorder="1" applyAlignment="1" applyProtection="1">
      <alignment shrinkToFit="1"/>
      <protection locked="0"/>
    </xf>
    <xf numFmtId="228" fontId="5" fillId="0" borderId="38" xfId="14" applyNumberFormat="1" applyFont="1" applyBorder="1" applyAlignment="1" applyProtection="1">
      <alignment shrinkToFit="1"/>
      <protection locked="0"/>
    </xf>
    <xf numFmtId="241" fontId="18" fillId="23" borderId="409" xfId="14" applyNumberFormat="1" applyFont="1" applyFill="1" applyBorder="1" applyAlignment="1">
      <alignment vertical="center" shrinkToFit="1"/>
    </xf>
    <xf numFmtId="240" fontId="18" fillId="23" borderId="409" xfId="14" applyNumberFormat="1" applyFont="1" applyFill="1" applyBorder="1" applyAlignment="1">
      <alignment vertical="center" shrinkToFit="1"/>
    </xf>
    <xf numFmtId="0" fontId="18" fillId="23" borderId="410" xfId="14" applyNumberFormat="1" applyFont="1" applyFill="1" applyBorder="1" applyAlignment="1">
      <alignment vertical="center" shrinkToFit="1"/>
    </xf>
    <xf numFmtId="3" fontId="18" fillId="23" borderId="410" xfId="14" applyNumberFormat="1" applyFont="1" applyFill="1" applyBorder="1" applyAlignment="1">
      <alignment vertical="center" shrinkToFit="1"/>
    </xf>
    <xf numFmtId="3" fontId="18" fillId="23" borderId="409" xfId="14" applyNumberFormat="1" applyFont="1" applyFill="1" applyBorder="1" applyAlignment="1">
      <alignment vertical="center" shrinkToFit="1"/>
    </xf>
    <xf numFmtId="2" fontId="18" fillId="23" borderId="410" xfId="14" applyNumberFormat="1" applyFont="1" applyFill="1" applyBorder="1" applyAlignment="1">
      <alignment vertical="center" shrinkToFit="1"/>
    </xf>
    <xf numFmtId="2" fontId="18" fillId="23" borderId="409" xfId="14" applyNumberFormat="1" applyFont="1" applyFill="1" applyBorder="1" applyAlignment="1">
      <alignment vertical="center" shrinkToFit="1"/>
    </xf>
    <xf numFmtId="228" fontId="18" fillId="23" borderId="411" xfId="14" applyNumberFormat="1" applyFont="1" applyFill="1" applyBorder="1" applyAlignment="1">
      <alignment vertical="center" shrinkToFit="1"/>
    </xf>
    <xf numFmtId="0" fontId="18" fillId="23" borderId="408" xfId="14" applyNumberFormat="1" applyFont="1" applyFill="1" applyBorder="1" applyAlignment="1">
      <alignment horizontal="center" vertical="center" shrinkToFit="1"/>
    </xf>
    <xf numFmtId="0" fontId="0" fillId="0" borderId="407" xfId="0" applyBorder="1" applyAlignment="1">
      <alignment horizontal="center" vertical="center" shrinkToFit="1"/>
    </xf>
    <xf numFmtId="0" fontId="0" fillId="0" borderId="412" xfId="0" applyBorder="1" applyAlignment="1">
      <alignment horizontal="center" vertical="center" shrinkToFit="1"/>
    </xf>
    <xf numFmtId="0" fontId="5" fillId="3" borderId="79" xfId="14" applyNumberFormat="1" applyFont="1" applyFill="1" applyBorder="1" applyAlignment="1" applyProtection="1">
      <alignment horizontal="center" vertical="center"/>
      <protection locked="0"/>
    </xf>
    <xf numFmtId="0" fontId="5" fillId="3" borderId="68" xfId="14" applyNumberFormat="1" applyFont="1" applyFill="1" applyBorder="1" applyAlignment="1" applyProtection="1">
      <alignment horizontal="center" vertical="center"/>
      <protection locked="0"/>
    </xf>
    <xf numFmtId="0" fontId="0" fillId="0" borderId="165" xfId="0" applyBorder="1" applyAlignment="1">
      <alignment horizontal="center" vertical="center"/>
    </xf>
    <xf numFmtId="0" fontId="5" fillId="3" borderId="413" xfId="14" applyNumberFormat="1" applyFont="1" applyFill="1" applyBorder="1" applyAlignment="1" applyProtection="1">
      <alignment horizontal="center" vertical="center" wrapText="1"/>
      <protection locked="0"/>
    </xf>
    <xf numFmtId="194" fontId="5" fillId="12" borderId="165" xfId="2" applyNumberFormat="1" applyFont="1" applyFill="1" applyBorder="1" applyAlignment="1" applyProtection="1">
      <alignment horizontal="center" vertical="center" wrapText="1" shrinkToFit="1"/>
      <protection locked="0"/>
    </xf>
    <xf numFmtId="195" fontId="5" fillId="12" borderId="164" xfId="2" applyNumberFormat="1" applyFont="1" applyFill="1" applyBorder="1" applyAlignment="1" applyProtection="1">
      <alignment horizontal="center" vertical="center" wrapText="1" shrinkToFit="1"/>
      <protection locked="0"/>
    </xf>
    <xf numFmtId="196" fontId="5" fillId="12" borderId="56" xfId="2" applyNumberFormat="1" applyFont="1" applyFill="1" applyBorder="1" applyAlignment="1" applyProtection="1">
      <alignment horizontal="center" vertical="center" wrapText="1" shrinkToFit="1"/>
      <protection locked="0"/>
    </xf>
    <xf numFmtId="197" fontId="5" fillId="12" borderId="42" xfId="2" applyNumberFormat="1" applyFont="1" applyFill="1" applyBorder="1" applyAlignment="1" applyProtection="1">
      <alignment horizontal="center" vertical="center" wrapText="1" shrinkToFit="1"/>
      <protection locked="0"/>
    </xf>
    <xf numFmtId="0" fontId="18" fillId="0" borderId="0" xfId="2" applyFont="1" applyFill="1" applyBorder="1" applyAlignment="1" applyProtection="1">
      <alignment horizontal="left" vertical="center" indent="1"/>
      <protection locked="0"/>
    </xf>
    <xf numFmtId="0" fontId="5" fillId="0" borderId="0" xfId="2" applyFont="1" applyFill="1" applyBorder="1" applyAlignment="1" applyProtection="1">
      <alignment horizontal="center"/>
      <protection locked="0"/>
    </xf>
    <xf numFmtId="176" fontId="33" fillId="0" borderId="133" xfId="2" applyNumberFormat="1" applyFont="1" applyFill="1" applyBorder="1" applyAlignment="1" applyProtection="1">
      <alignment horizontal="left" vertical="center" indent="1"/>
      <protection locked="0"/>
    </xf>
    <xf numFmtId="0" fontId="5" fillId="0" borderId="414" xfId="2" applyFont="1" applyFill="1" applyBorder="1" applyAlignment="1" applyProtection="1">
      <alignment horizontal="right"/>
    </xf>
    <xf numFmtId="3" fontId="5" fillId="0" borderId="157" xfId="12" applyNumberFormat="1" applyFont="1" applyFill="1" applyBorder="1" applyAlignment="1" applyProtection="1">
      <alignment horizontal="right" shrinkToFit="1"/>
    </xf>
    <xf numFmtId="0" fontId="5" fillId="0" borderId="0" xfId="2" applyFont="1" applyFill="1" applyBorder="1" applyAlignment="1" applyProtection="1">
      <protection locked="0"/>
    </xf>
    <xf numFmtId="0" fontId="5" fillId="0" borderId="0" xfId="14" applyFont="1" applyAlignment="1"/>
    <xf numFmtId="0" fontId="5" fillId="0" borderId="57" xfId="3" applyFont="1" applyFill="1" applyBorder="1" applyAlignment="1">
      <alignment horizontal="left" vertical="center" indent="1" shrinkToFit="1"/>
    </xf>
    <xf numFmtId="0" fontId="5" fillId="0" borderId="56" xfId="3" applyFont="1" applyFill="1" applyBorder="1" applyAlignment="1">
      <alignment horizontal="left" vertical="center" indent="1" shrinkToFit="1"/>
    </xf>
    <xf numFmtId="0" fontId="5" fillId="0" borderId="97" xfId="3" applyFont="1" applyFill="1" applyBorder="1" applyAlignment="1">
      <alignment horizontal="left" vertical="center" indent="1" shrinkToFit="1"/>
    </xf>
    <xf numFmtId="0" fontId="5" fillId="0" borderId="0" xfId="14" applyFont="1" applyAlignment="1">
      <alignment horizontal="left" indent="1" shrinkToFit="1"/>
    </xf>
    <xf numFmtId="0" fontId="5" fillId="0" borderId="38" xfId="3" applyFont="1" applyFill="1" applyBorder="1" applyAlignment="1">
      <alignment horizontal="left" vertical="center" indent="1" shrinkToFit="1"/>
    </xf>
    <xf numFmtId="0" fontId="5" fillId="0" borderId="0" xfId="3" applyFont="1" applyFill="1" applyBorder="1" applyAlignment="1">
      <alignment horizontal="left" vertical="center" indent="1" shrinkToFit="1"/>
    </xf>
    <xf numFmtId="0" fontId="5" fillId="0" borderId="96" xfId="3" applyFont="1" applyFill="1" applyBorder="1" applyAlignment="1">
      <alignment horizontal="left" vertical="center" indent="1" shrinkToFit="1"/>
    </xf>
    <xf numFmtId="0" fontId="5" fillId="0" borderId="0" xfId="14" applyFont="1" applyBorder="1" applyAlignment="1"/>
    <xf numFmtId="0" fontId="5" fillId="0" borderId="415" xfId="14" applyFont="1" applyBorder="1" applyAlignment="1">
      <alignment horizontal="left" indent="1" shrinkToFit="1"/>
    </xf>
    <xf numFmtId="0" fontId="5" fillId="0" borderId="416" xfId="14" applyFont="1" applyBorder="1" applyAlignment="1"/>
    <xf numFmtId="0" fontId="5" fillId="0" borderId="0" xfId="16" applyFont="1" applyAlignment="1"/>
    <xf numFmtId="0" fontId="5" fillId="0" borderId="0" xfId="14" applyNumberFormat="1" applyFont="1" applyBorder="1" applyAlignment="1" applyProtection="1">
      <protection locked="0"/>
    </xf>
    <xf numFmtId="0" fontId="5" fillId="0" borderId="0" xfId="14" applyNumberFormat="1" applyFont="1" applyBorder="1" applyAlignment="1" applyProtection="1">
      <alignment horizontal="left" indent="1"/>
      <protection locked="0"/>
    </xf>
    <xf numFmtId="0" fontId="5" fillId="0" borderId="0" xfId="16" applyFont="1" applyBorder="1" applyAlignment="1"/>
    <xf numFmtId="0" fontId="5" fillId="0" borderId="0" xfId="14" applyNumberFormat="1" applyFont="1" applyBorder="1" applyAlignment="1"/>
    <xf numFmtId="0" fontId="5" fillId="0" borderId="0" xfId="17" applyFont="1" applyFill="1" applyAlignment="1"/>
    <xf numFmtId="0" fontId="5" fillId="0" borderId="0" xfId="17" applyNumberFormat="1" applyFont="1" applyFill="1" applyBorder="1" applyAlignment="1"/>
    <xf numFmtId="193" fontId="5" fillId="0" borderId="0" xfId="17" applyNumberFormat="1" applyFont="1" applyFill="1" applyBorder="1" applyAlignment="1"/>
    <xf numFmtId="0" fontId="5" fillId="0" borderId="417" xfId="17" applyFont="1" applyFill="1" applyBorder="1" applyAlignment="1">
      <alignment horizontal="center" vertical="center" wrapText="1"/>
    </xf>
    <xf numFmtId="0" fontId="5" fillId="0" borderId="418" xfId="17" applyFont="1" applyFill="1" applyBorder="1" applyAlignment="1">
      <alignment horizontal="center" vertical="center" wrapText="1"/>
    </xf>
    <xf numFmtId="0" fontId="5" fillId="0" borderId="419" xfId="17" applyFont="1" applyFill="1" applyBorder="1" applyAlignment="1">
      <alignment horizontal="center" vertical="center" wrapText="1"/>
    </xf>
    <xf numFmtId="0" fontId="5" fillId="0" borderId="420" xfId="17" applyFont="1" applyFill="1" applyBorder="1" applyAlignment="1">
      <alignment horizontal="center" vertical="center" wrapText="1"/>
    </xf>
    <xf numFmtId="193" fontId="45" fillId="0" borderId="0" xfId="17" applyNumberFormat="1" applyFont="1" applyFill="1" applyBorder="1" applyAlignment="1"/>
    <xf numFmtId="0" fontId="5" fillId="0" borderId="176" xfId="3" applyFont="1" applyFill="1" applyBorder="1" applyAlignment="1">
      <alignment horizontal="left" vertical="center" indent="1" shrinkToFit="1"/>
    </xf>
    <xf numFmtId="0" fontId="5" fillId="0" borderId="170" xfId="3" applyFont="1" applyFill="1" applyBorder="1" applyAlignment="1">
      <alignment horizontal="left" vertical="center" indent="1" shrinkToFit="1"/>
    </xf>
    <xf numFmtId="0" fontId="5" fillId="0" borderId="169" xfId="3" applyFont="1" applyFill="1" applyBorder="1" applyAlignment="1">
      <alignment horizontal="left" vertical="center" indent="1" shrinkToFit="1"/>
    </xf>
    <xf numFmtId="0" fontId="46" fillId="0" borderId="0" xfId="17" applyFont="1" applyFill="1" applyAlignment="1">
      <alignment horizontal="right"/>
    </xf>
    <xf numFmtId="193" fontId="5" fillId="0" borderId="284" xfId="14" applyNumberFormat="1" applyFont="1" applyFill="1" applyBorder="1" applyAlignment="1"/>
    <xf numFmtId="193" fontId="5" fillId="0" borderId="0" xfId="14" applyNumberFormat="1" applyFont="1" applyBorder="1" applyAlignment="1"/>
    <xf numFmtId="0" fontId="10" fillId="0" borderId="0" xfId="14" applyFont="1" applyAlignment="1"/>
    <xf numFmtId="0" fontId="10" fillId="2" borderId="4" xfId="14" applyFont="1" applyFill="1" applyBorder="1" applyAlignment="1"/>
    <xf numFmtId="0" fontId="10" fillId="2" borderId="3" xfId="14" applyFont="1" applyFill="1" applyBorder="1" applyAlignment="1"/>
    <xf numFmtId="0" fontId="10" fillId="2" borderId="3" xfId="14" applyFont="1" applyFill="1" applyBorder="1" applyAlignment="1">
      <alignment vertical="center"/>
    </xf>
    <xf numFmtId="0" fontId="31" fillId="2" borderId="2" xfId="14" applyFont="1" applyFill="1" applyBorder="1" applyAlignment="1">
      <alignment horizontal="left" vertical="center"/>
    </xf>
    <xf numFmtId="0" fontId="10" fillId="2" borderId="35" xfId="14" applyFont="1" applyFill="1" applyBorder="1" applyAlignment="1"/>
    <xf numFmtId="0" fontId="10" fillId="2" borderId="34" xfId="14" applyFont="1" applyFill="1" applyBorder="1" applyAlignment="1"/>
    <xf numFmtId="0" fontId="31" fillId="2" borderId="2" xfId="14" applyFont="1" applyFill="1" applyBorder="1" applyAlignment="1">
      <alignment horizontal="left" vertical="center" indent="1"/>
    </xf>
    <xf numFmtId="0" fontId="5" fillId="0" borderId="0" xfId="14" applyFont="1" applyAlignment="1">
      <alignment shrinkToFit="1"/>
    </xf>
    <xf numFmtId="0" fontId="0" fillId="0" borderId="0" xfId="0" applyAlignment="1">
      <alignment shrinkToFit="1"/>
    </xf>
    <xf numFmtId="0" fontId="5" fillId="0" borderId="416" xfId="14" applyFont="1" applyBorder="1" applyAlignment="1">
      <alignment shrinkToFit="1"/>
    </xf>
    <xf numFmtId="0" fontId="0" fillId="0" borderId="416" xfId="0" applyBorder="1" applyAlignment="1">
      <alignment shrinkToFit="1"/>
    </xf>
    <xf numFmtId="0" fontId="5" fillId="0" borderId="415" xfId="14" applyFont="1" applyBorder="1" applyAlignment="1">
      <alignment shrinkToFit="1"/>
    </xf>
    <xf numFmtId="0" fontId="0" fillId="0" borderId="415" xfId="0" applyBorder="1" applyAlignment="1">
      <alignment shrinkToFit="1"/>
    </xf>
    <xf numFmtId="0" fontId="5" fillId="0" borderId="0" xfId="14" applyNumberFormat="1" applyFont="1" applyBorder="1" applyAlignment="1" applyProtection="1">
      <alignment shrinkToFit="1"/>
      <protection locked="0"/>
    </xf>
    <xf numFmtId="0" fontId="5" fillId="0" borderId="416" xfId="14" applyNumberFormat="1" applyFont="1" applyBorder="1" applyAlignment="1" applyProtection="1">
      <alignment shrinkToFit="1"/>
      <protection locked="0"/>
    </xf>
    <xf numFmtId="0" fontId="5" fillId="0" borderId="415" xfId="14" applyNumberFormat="1" applyFont="1" applyBorder="1" applyAlignment="1" applyProtection="1">
      <alignment shrinkToFit="1"/>
      <protection locked="0"/>
    </xf>
    <xf numFmtId="0" fontId="5" fillId="0" borderId="0" xfId="14" applyFont="1" applyBorder="1" applyAlignment="1">
      <alignment shrinkToFit="1"/>
    </xf>
    <xf numFmtId="0" fontId="5" fillId="0" borderId="0" xfId="14" applyNumberFormat="1" applyFont="1" applyBorder="1" applyAlignment="1">
      <alignment shrinkToFit="1"/>
    </xf>
    <xf numFmtId="0" fontId="5" fillId="0" borderId="0" xfId="16" applyFont="1" applyBorder="1" applyAlignment="1">
      <alignment shrinkToFit="1"/>
    </xf>
    <xf numFmtId="0" fontId="5" fillId="0" borderId="416" xfId="16" applyFont="1" applyBorder="1" applyAlignment="1">
      <alignment shrinkToFit="1"/>
    </xf>
    <xf numFmtId="0" fontId="5" fillId="0" borderId="415" xfId="16" applyFont="1" applyBorder="1" applyAlignment="1">
      <alignment shrinkToFit="1"/>
    </xf>
    <xf numFmtId="3" fontId="5" fillId="0" borderId="129" xfId="14" applyNumberFormat="1" applyFont="1" applyBorder="1" applyAlignment="1" applyProtection="1">
      <alignment shrinkToFit="1"/>
      <protection locked="0"/>
    </xf>
    <xf numFmtId="3" fontId="5" fillId="0" borderId="148" xfId="14" applyNumberFormat="1" applyFont="1" applyBorder="1" applyAlignment="1" applyProtection="1">
      <alignment shrinkToFit="1"/>
      <protection locked="0"/>
    </xf>
    <xf numFmtId="0" fontId="5" fillId="0" borderId="311" xfId="14" applyNumberFormat="1" applyFont="1" applyBorder="1" applyAlignment="1" applyProtection="1">
      <alignment shrinkToFit="1"/>
      <protection locked="0"/>
    </xf>
    <xf numFmtId="183" fontId="5" fillId="3" borderId="312" xfId="14" applyNumberFormat="1" applyFont="1" applyFill="1" applyBorder="1" applyAlignment="1" applyProtection="1">
      <alignment horizontal="center" vertical="center" shrinkToFit="1"/>
      <protection locked="0"/>
    </xf>
    <xf numFmtId="183" fontId="5" fillId="3" borderId="40" xfId="14" applyNumberFormat="1" applyFont="1" applyFill="1" applyBorder="1" applyAlignment="1" applyProtection="1">
      <alignment horizontal="center" vertical="center" shrinkToFit="1"/>
      <protection locked="0"/>
    </xf>
    <xf numFmtId="183" fontId="5" fillId="3" borderId="254" xfId="14" applyNumberFormat="1" applyFont="1" applyFill="1" applyBorder="1" applyAlignment="1" applyProtection="1">
      <alignment horizontal="center" vertical="center" shrinkToFit="1"/>
      <protection locked="0"/>
    </xf>
    <xf numFmtId="0" fontId="5" fillId="3" borderId="421" xfId="14" applyNumberFormat="1" applyFont="1" applyFill="1" applyBorder="1" applyAlignment="1" applyProtection="1">
      <alignment horizontal="center" vertical="center" wrapText="1" shrinkToFit="1"/>
      <protection locked="0"/>
    </xf>
    <xf numFmtId="0" fontId="5" fillId="3" borderId="137" xfId="14" applyNumberFormat="1" applyFont="1" applyFill="1" applyBorder="1" applyAlignment="1" applyProtection="1">
      <alignment horizontal="center" vertical="center"/>
      <protection locked="0"/>
    </xf>
    <xf numFmtId="0" fontId="5" fillId="3" borderId="34" xfId="14" applyNumberFormat="1" applyFont="1" applyFill="1" applyBorder="1" applyAlignment="1" applyProtection="1">
      <alignment horizontal="center" vertical="center"/>
      <protection locked="0"/>
    </xf>
    <xf numFmtId="0" fontId="5" fillId="3" borderId="138" xfId="14" applyNumberFormat="1" applyFont="1" applyFill="1" applyBorder="1" applyAlignment="1" applyProtection="1">
      <alignment horizontal="center" vertical="center"/>
      <protection locked="0"/>
    </xf>
    <xf numFmtId="0" fontId="5" fillId="3" borderId="137" xfId="14" applyFont="1" applyFill="1" applyBorder="1" applyAlignment="1" applyProtection="1">
      <alignment horizontal="center" vertical="center" wrapText="1" shrinkToFit="1"/>
      <protection locked="0"/>
    </xf>
    <xf numFmtId="0" fontId="5" fillId="3" borderId="135" xfId="14" applyFont="1" applyFill="1" applyBorder="1" applyAlignment="1" applyProtection="1">
      <alignment horizontal="center" vertical="center" shrinkToFit="1"/>
      <protection locked="0"/>
    </xf>
    <xf numFmtId="0" fontId="48" fillId="0" borderId="0" xfId="13" applyFont="1">
      <alignment vertical="center"/>
    </xf>
    <xf numFmtId="0" fontId="49" fillId="2" borderId="4" xfId="14" applyFont="1" applyFill="1" applyBorder="1"/>
    <xf numFmtId="0" fontId="49" fillId="2" borderId="3" xfId="14" applyFont="1" applyFill="1" applyBorder="1"/>
    <xf numFmtId="0" fontId="49" fillId="2" borderId="3" xfId="14" applyNumberFormat="1" applyFont="1" applyFill="1" applyBorder="1" applyProtection="1">
      <protection locked="0"/>
    </xf>
    <xf numFmtId="242" fontId="49" fillId="2" borderId="3" xfId="14" applyNumberFormat="1" applyFont="1" applyFill="1" applyBorder="1" applyAlignment="1" applyProtection="1">
      <alignment horizontal="left"/>
      <protection locked="0"/>
    </xf>
    <xf numFmtId="0" fontId="49" fillId="2" borderId="3" xfId="14" applyFont="1" applyFill="1" applyBorder="1" applyProtection="1">
      <protection locked="0"/>
    </xf>
    <xf numFmtId="193" fontId="8" fillId="2" borderId="3" xfId="14" applyNumberFormat="1" applyFont="1" applyFill="1" applyBorder="1" applyProtection="1">
      <protection locked="0"/>
    </xf>
    <xf numFmtId="193" fontId="49" fillId="2" borderId="3" xfId="14" applyNumberFormat="1" applyFont="1" applyFill="1" applyBorder="1" applyProtection="1">
      <protection locked="0"/>
    </xf>
    <xf numFmtId="0" fontId="8" fillId="2" borderId="2" xfId="14" applyNumberFormat="1" applyFont="1" applyFill="1" applyBorder="1" applyAlignment="1" applyProtection="1">
      <alignment horizontal="left" vertical="center" indent="1"/>
      <protection locked="0"/>
    </xf>
    <xf numFmtId="0" fontId="5" fillId="3" borderId="312" xfId="14" applyFont="1" applyFill="1" applyBorder="1" applyAlignment="1" applyProtection="1">
      <alignment horizontal="center" vertical="center" shrinkToFit="1"/>
      <protection locked="0"/>
    </xf>
    <xf numFmtId="0" fontId="5" fillId="3" borderId="205" xfId="14" applyFont="1" applyFill="1" applyBorder="1" applyAlignment="1" applyProtection="1">
      <alignment horizontal="center" vertical="center" wrapText="1" shrinkToFit="1"/>
      <protection locked="0"/>
    </xf>
    <xf numFmtId="0" fontId="5" fillId="3" borderId="422" xfId="14" applyNumberFormat="1" applyFont="1" applyFill="1" applyBorder="1" applyAlignment="1" applyProtection="1">
      <alignment horizontal="center" vertical="center" wrapText="1" shrinkToFit="1"/>
      <protection locked="0"/>
    </xf>
    <xf numFmtId="0" fontId="5" fillId="0" borderId="308" xfId="14" applyNumberFormat="1" applyFont="1" applyBorder="1" applyAlignment="1" applyProtection="1">
      <alignment shrinkToFit="1"/>
      <protection locked="0"/>
    </xf>
    <xf numFmtId="0" fontId="0" fillId="0" borderId="429" xfId="0" applyBorder="1" applyAlignment="1">
      <alignment horizontal="center" vertical="center" shrinkToFit="1"/>
    </xf>
    <xf numFmtId="0" fontId="5" fillId="0" borderId="402" xfId="14" applyNumberFormat="1" applyFont="1" applyBorder="1" applyAlignment="1" applyProtection="1">
      <alignment shrinkToFit="1"/>
      <protection locked="0"/>
    </xf>
    <xf numFmtId="3" fontId="5" fillId="0" borderId="205" xfId="14" applyNumberFormat="1" applyFont="1" applyBorder="1" applyAlignment="1" applyProtection="1">
      <alignment shrinkToFit="1"/>
      <protection locked="0"/>
    </xf>
    <xf numFmtId="3" fontId="5" fillId="0" borderId="38" xfId="14" applyNumberFormat="1" applyFont="1" applyBorder="1" applyAlignment="1" applyProtection="1">
      <alignment shrinkToFit="1"/>
      <protection locked="0"/>
    </xf>
    <xf numFmtId="0" fontId="18" fillId="24" borderId="430" xfId="14" applyNumberFormat="1" applyFont="1" applyFill="1" applyBorder="1" applyAlignment="1" applyProtection="1">
      <alignment horizontal="center" vertical="center" shrinkToFit="1"/>
      <protection locked="0"/>
    </xf>
    <xf numFmtId="0" fontId="0" fillId="0" borderId="431" xfId="0" applyBorder="1" applyAlignment="1">
      <alignment horizontal="center" vertical="center" shrinkToFit="1"/>
    </xf>
    <xf numFmtId="0" fontId="0" fillId="0" borderId="432" xfId="0" applyBorder="1" applyAlignment="1">
      <alignment horizontal="center" vertical="center" shrinkToFit="1"/>
    </xf>
    <xf numFmtId="0" fontId="18" fillId="0" borderId="423" xfId="14" applyNumberFormat="1" applyFont="1" applyBorder="1" applyAlignment="1" applyProtection="1">
      <alignment vertical="center" shrinkToFit="1"/>
      <protection locked="0"/>
    </xf>
    <xf numFmtId="241" fontId="18" fillId="0" borderId="424" xfId="14" applyNumberFormat="1" applyFont="1" applyBorder="1" applyAlignment="1" applyProtection="1">
      <alignment vertical="center" shrinkToFit="1"/>
      <protection locked="0"/>
    </xf>
    <xf numFmtId="3" fontId="18" fillId="0" borderId="425" xfId="14" applyNumberFormat="1" applyFont="1" applyBorder="1" applyAlignment="1" applyProtection="1">
      <alignment vertical="center" shrinkToFit="1"/>
      <protection locked="0"/>
    </xf>
    <xf numFmtId="3" fontId="18" fillId="0" borderId="424" xfId="14" applyNumberFormat="1" applyFont="1" applyBorder="1" applyAlignment="1" applyProtection="1">
      <alignment vertical="center" shrinkToFit="1"/>
      <protection locked="0"/>
    </xf>
    <xf numFmtId="3" fontId="18" fillId="0" borderId="426" xfId="14" applyNumberFormat="1" applyFont="1" applyBorder="1" applyAlignment="1" applyProtection="1">
      <alignment vertical="center" shrinkToFit="1"/>
      <protection locked="0"/>
    </xf>
    <xf numFmtId="3" fontId="18" fillId="0" borderId="427" xfId="14" applyNumberFormat="1" applyFont="1" applyBorder="1" applyAlignment="1" applyProtection="1">
      <alignment vertical="center" shrinkToFit="1"/>
      <protection locked="0"/>
    </xf>
    <xf numFmtId="0" fontId="18" fillId="0" borderId="428" xfId="14" applyNumberFormat="1" applyFont="1" applyBorder="1" applyAlignment="1" applyProtection="1">
      <alignment horizontal="left" vertical="center" indent="1" shrinkToFit="1"/>
      <protection locked="0"/>
    </xf>
    <xf numFmtId="0" fontId="0" fillId="0" borderId="429" xfId="0" applyBorder="1" applyAlignment="1">
      <alignment horizontal="left" vertical="center" indent="1" shrinkToFit="1"/>
    </xf>
    <xf numFmtId="0" fontId="0" fillId="0" borderId="426" xfId="0" applyBorder="1" applyAlignment="1">
      <alignment horizontal="left" vertical="center" indent="1" shrinkToFit="1"/>
    </xf>
    <xf numFmtId="0" fontId="18" fillId="25" borderId="430" xfId="14" applyNumberFormat="1" applyFont="1" applyFill="1" applyBorder="1" applyAlignment="1" applyProtection="1">
      <alignment horizontal="center" vertical="center" shrinkToFit="1"/>
      <protection locked="0"/>
    </xf>
    <xf numFmtId="0" fontId="18" fillId="26" borderId="430" xfId="14" applyNumberFormat="1" applyFont="1" applyFill="1" applyBorder="1" applyAlignment="1" applyProtection="1">
      <alignment horizontal="center" vertical="center" shrinkToFit="1"/>
      <protection locked="0"/>
    </xf>
    <xf numFmtId="0" fontId="18" fillId="0" borderId="434" xfId="14" applyNumberFormat="1" applyFont="1" applyBorder="1" applyAlignment="1" applyProtection="1">
      <alignment vertical="center" shrinkToFit="1"/>
      <protection locked="0"/>
    </xf>
    <xf numFmtId="241" fontId="18" fillId="0" borderId="435" xfId="14" applyNumberFormat="1" applyFont="1" applyBorder="1" applyAlignment="1" applyProtection="1">
      <alignment vertical="center" shrinkToFit="1"/>
      <protection locked="0"/>
    </xf>
    <xf numFmtId="3" fontId="18" fillId="0" borderId="435" xfId="14" applyNumberFormat="1" applyFont="1" applyBorder="1" applyAlignment="1" applyProtection="1">
      <alignment vertical="center" shrinkToFit="1"/>
      <protection locked="0"/>
    </xf>
    <xf numFmtId="3" fontId="18" fillId="0" borderId="434" xfId="14" applyNumberFormat="1" applyFont="1" applyBorder="1" applyAlignment="1" applyProtection="1">
      <alignment vertical="center" shrinkToFit="1"/>
      <protection locked="0"/>
    </xf>
    <xf numFmtId="3" fontId="18" fillId="0" borderId="436" xfId="14" applyNumberFormat="1" applyFont="1" applyBorder="1" applyAlignment="1" applyProtection="1">
      <alignment vertical="center" shrinkToFit="1"/>
      <protection locked="0"/>
    </xf>
    <xf numFmtId="0" fontId="18" fillId="0" borderId="433" xfId="14" applyNumberFormat="1" applyFont="1" applyBorder="1" applyAlignment="1" applyProtection="1">
      <alignment horizontal="center" vertical="center" shrinkToFit="1"/>
      <protection locked="0"/>
    </xf>
    <xf numFmtId="0" fontId="0" fillId="0" borderId="437" xfId="0" applyBorder="1" applyAlignment="1">
      <alignment horizontal="center" vertical="center" shrinkToFit="1"/>
    </xf>
    <xf numFmtId="0" fontId="0" fillId="0" borderId="438" xfId="0" applyBorder="1" applyAlignment="1">
      <alignment horizontal="center" vertical="center" shrinkToFit="1"/>
    </xf>
    <xf numFmtId="0" fontId="5" fillId="0" borderId="312" xfId="14" applyNumberFormat="1" applyFont="1" applyBorder="1" applyAlignment="1" applyProtection="1">
      <alignment shrinkToFit="1"/>
      <protection locked="0"/>
    </xf>
    <xf numFmtId="241" fontId="18" fillId="24" borderId="441" xfId="14" applyNumberFormat="1" applyFont="1" applyFill="1" applyBorder="1" applyAlignment="1" applyProtection="1">
      <alignment vertical="center" shrinkToFit="1"/>
      <protection locked="0"/>
    </xf>
    <xf numFmtId="3" fontId="18" fillId="24" borderId="441" xfId="14" applyNumberFormat="1" applyFont="1" applyFill="1" applyBorder="1" applyAlignment="1" applyProtection="1">
      <alignment vertical="center" shrinkToFit="1"/>
      <protection locked="0"/>
    </xf>
    <xf numFmtId="3" fontId="18" fillId="24" borderId="440" xfId="14" applyNumberFormat="1" applyFont="1" applyFill="1" applyBorder="1" applyAlignment="1" applyProtection="1">
      <alignment vertical="center" shrinkToFit="1"/>
      <protection locked="0"/>
    </xf>
    <xf numFmtId="3" fontId="18" fillId="24" borderId="442" xfId="14" applyNumberFormat="1" applyFont="1" applyFill="1" applyBorder="1" applyAlignment="1" applyProtection="1">
      <alignment vertical="center" shrinkToFit="1"/>
      <protection locked="0"/>
    </xf>
    <xf numFmtId="0" fontId="18" fillId="24" borderId="439" xfId="14" applyNumberFormat="1" applyFont="1" applyFill="1" applyBorder="1" applyAlignment="1" applyProtection="1">
      <alignment horizontal="center" vertical="center" shrinkToFit="1"/>
      <protection locked="0"/>
    </xf>
    <xf numFmtId="0" fontId="1" fillId="24" borderId="440" xfId="0" applyNumberFormat="1" applyFont="1" applyFill="1" applyBorder="1" applyAlignment="1">
      <alignment horizontal="center" vertical="center" shrinkToFit="1"/>
    </xf>
    <xf numFmtId="241" fontId="18" fillId="25" borderId="441" xfId="14" applyNumberFormat="1" applyFont="1" applyFill="1" applyBorder="1" applyAlignment="1" applyProtection="1">
      <alignment vertical="center" shrinkToFit="1"/>
      <protection locked="0"/>
    </xf>
    <xf numFmtId="3" fontId="18" fillId="25" borderId="441" xfId="14" applyNumberFormat="1" applyFont="1" applyFill="1" applyBorder="1" applyAlignment="1" applyProtection="1">
      <alignment vertical="center" shrinkToFit="1"/>
      <protection locked="0"/>
    </xf>
    <xf numFmtId="3" fontId="18" fillId="25" borderId="440" xfId="14" applyNumberFormat="1" applyFont="1" applyFill="1" applyBorder="1" applyAlignment="1" applyProtection="1">
      <alignment vertical="center" shrinkToFit="1"/>
      <protection locked="0"/>
    </xf>
    <xf numFmtId="3" fontId="18" fillId="25" borderId="442" xfId="14" applyNumberFormat="1" applyFont="1" applyFill="1" applyBorder="1" applyAlignment="1" applyProtection="1">
      <alignment vertical="center" shrinkToFit="1"/>
      <protection locked="0"/>
    </xf>
    <xf numFmtId="0" fontId="18" fillId="25" borderId="439" xfId="14" applyNumberFormat="1" applyFont="1" applyFill="1" applyBorder="1" applyAlignment="1" applyProtection="1">
      <alignment horizontal="center" vertical="center" shrinkToFit="1"/>
      <protection locked="0"/>
    </xf>
    <xf numFmtId="0" fontId="1" fillId="25" borderId="440" xfId="0" applyNumberFormat="1" applyFont="1" applyFill="1" applyBorder="1" applyAlignment="1">
      <alignment horizontal="center" vertical="center" shrinkToFit="1"/>
    </xf>
    <xf numFmtId="0" fontId="18" fillId="26" borderId="443" xfId="14" applyNumberFormat="1" applyFont="1" applyFill="1" applyBorder="1" applyAlignment="1" applyProtection="1">
      <alignment horizontal="center" vertical="center" shrinkToFit="1"/>
      <protection locked="0"/>
    </xf>
    <xf numFmtId="0" fontId="1" fillId="26" borderId="444" xfId="0" applyNumberFormat="1" applyFont="1" applyFill="1" applyBorder="1" applyAlignment="1">
      <alignment horizontal="center" vertical="center" shrinkToFit="1"/>
    </xf>
    <xf numFmtId="241" fontId="18" fillId="26" borderId="445" xfId="14" applyNumberFormat="1" applyFont="1" applyFill="1" applyBorder="1" applyAlignment="1" applyProtection="1">
      <alignment vertical="center" shrinkToFit="1"/>
      <protection locked="0"/>
    </xf>
    <xf numFmtId="3" fontId="18" fillId="26" borderId="445" xfId="14" applyNumberFormat="1" applyFont="1" applyFill="1" applyBorder="1" applyAlignment="1" applyProtection="1">
      <alignment vertical="center" shrinkToFit="1"/>
      <protection locked="0"/>
    </xf>
    <xf numFmtId="3" fontId="18" fillId="26" borderId="444" xfId="14" applyNumberFormat="1" applyFont="1" applyFill="1" applyBorder="1" applyAlignment="1" applyProtection="1">
      <alignment vertical="center" shrinkToFit="1"/>
      <protection locked="0"/>
    </xf>
    <xf numFmtId="3" fontId="18" fillId="26" borderId="446" xfId="14" applyNumberFormat="1" applyFont="1" applyFill="1" applyBorder="1" applyAlignment="1" applyProtection="1">
      <alignment vertical="center" shrinkToFit="1"/>
      <protection locked="0"/>
    </xf>
    <xf numFmtId="0" fontId="18" fillId="24" borderId="447" xfId="14" applyNumberFormat="1" applyFont="1" applyFill="1" applyBorder="1" applyAlignment="1">
      <alignment horizontal="center" vertical="center" shrinkToFit="1"/>
    </xf>
    <xf numFmtId="0" fontId="0" fillId="0" borderId="448" xfId="0" applyBorder="1" applyAlignment="1">
      <alignment horizontal="center" vertical="center" shrinkToFit="1"/>
    </xf>
    <xf numFmtId="0" fontId="0" fillId="0" borderId="449" xfId="0" applyBorder="1" applyAlignment="1">
      <alignment horizontal="center" vertical="center" shrinkToFit="1"/>
    </xf>
    <xf numFmtId="241" fontId="18" fillId="24" borderId="450" xfId="14" applyNumberFormat="1" applyFont="1" applyFill="1" applyBorder="1" applyAlignment="1">
      <alignment vertical="center" shrinkToFit="1"/>
    </xf>
    <xf numFmtId="3" fontId="18" fillId="24" borderId="450" xfId="14" applyNumberFormat="1" applyFont="1" applyFill="1" applyBorder="1" applyAlignment="1">
      <alignment vertical="center" shrinkToFit="1"/>
    </xf>
    <xf numFmtId="3" fontId="18" fillId="24" borderId="451" xfId="14" applyNumberFormat="1" applyFont="1" applyFill="1" applyBorder="1" applyAlignment="1">
      <alignment vertical="center" shrinkToFit="1"/>
    </xf>
    <xf numFmtId="3" fontId="50" fillId="24" borderId="451" xfId="14" applyNumberFormat="1" applyFont="1" applyFill="1" applyBorder="1" applyAlignment="1">
      <alignment vertical="center" shrinkToFit="1"/>
    </xf>
    <xf numFmtId="3" fontId="18" fillId="24" borderId="452" xfId="14" applyNumberFormat="1" applyFont="1" applyFill="1" applyBorder="1" applyAlignment="1">
      <alignment vertical="center" shrinkToFit="1"/>
    </xf>
    <xf numFmtId="0" fontId="18" fillId="23" borderId="447" xfId="14" applyNumberFormat="1" applyFont="1" applyFill="1" applyBorder="1" applyAlignment="1">
      <alignment horizontal="center" vertical="center" shrinkToFit="1"/>
    </xf>
    <xf numFmtId="241" fontId="18" fillId="23" borderId="450" xfId="14" applyNumberFormat="1" applyFont="1" applyFill="1" applyBorder="1" applyAlignment="1">
      <alignment vertical="center" shrinkToFit="1"/>
    </xf>
    <xf numFmtId="3" fontId="18" fillId="23" borderId="450" xfId="14" applyNumberFormat="1" applyFont="1" applyFill="1" applyBorder="1" applyAlignment="1">
      <alignment vertical="center" shrinkToFit="1"/>
    </xf>
    <xf numFmtId="3" fontId="18" fillId="23" borderId="451" xfId="14" applyNumberFormat="1" applyFont="1" applyFill="1" applyBorder="1" applyAlignment="1">
      <alignment vertical="center" shrinkToFit="1"/>
    </xf>
    <xf numFmtId="3" fontId="50" fillId="23" borderId="451" xfId="14" applyNumberFormat="1" applyFont="1" applyFill="1" applyBorder="1" applyAlignment="1">
      <alignment vertical="center" shrinkToFit="1"/>
    </xf>
    <xf numFmtId="3" fontId="18" fillId="23" borderId="452" xfId="14" applyNumberFormat="1" applyFont="1" applyFill="1" applyBorder="1" applyAlignment="1">
      <alignment vertical="center" shrinkToFit="1"/>
    </xf>
    <xf numFmtId="0" fontId="18" fillId="23" borderId="428" xfId="14" applyNumberFormat="1" applyFont="1" applyFill="1" applyBorder="1" applyAlignment="1">
      <alignment horizontal="center" vertical="center" shrinkToFit="1"/>
    </xf>
    <xf numFmtId="0" fontId="0" fillId="0" borderId="456" xfId="0" applyBorder="1" applyAlignment="1">
      <alignment horizontal="center" vertical="center" shrinkToFit="1"/>
    </xf>
    <xf numFmtId="241" fontId="18" fillId="23" borderId="453" xfId="14" applyNumberFormat="1" applyFont="1" applyFill="1" applyBorder="1" applyAlignment="1">
      <alignment vertical="center" shrinkToFit="1"/>
    </xf>
    <xf numFmtId="3" fontId="18" fillId="23" borderId="453" xfId="14" applyNumberFormat="1" applyFont="1" applyFill="1" applyBorder="1" applyAlignment="1">
      <alignment vertical="center" shrinkToFit="1"/>
    </xf>
    <xf numFmtId="3" fontId="18" fillId="23" borderId="454" xfId="14" applyNumberFormat="1" applyFont="1" applyFill="1" applyBorder="1" applyAlignment="1">
      <alignment vertical="center" shrinkToFit="1"/>
    </xf>
    <xf numFmtId="3" fontId="18" fillId="23" borderId="455" xfId="14" applyNumberFormat="1" applyFont="1" applyFill="1" applyBorder="1" applyAlignment="1">
      <alignment vertical="center" shrinkToFit="1"/>
    </xf>
    <xf numFmtId="3" fontId="50" fillId="23" borderId="454" xfId="14" applyNumberFormat="1" applyFont="1" applyFill="1" applyBorder="1" applyAlignment="1">
      <alignment vertical="center" shrinkToFit="1"/>
    </xf>
    <xf numFmtId="183" fontId="5" fillId="17" borderId="205" xfId="14" applyNumberFormat="1" applyFont="1" applyFill="1" applyBorder="1" applyAlignment="1" applyProtection="1">
      <alignment horizontal="center" vertical="center" shrinkToFit="1"/>
      <protection locked="0"/>
    </xf>
    <xf numFmtId="183" fontId="5" fillId="16" borderId="254" xfId="14" applyNumberFormat="1" applyFont="1" applyFill="1" applyBorder="1" applyAlignment="1" applyProtection="1">
      <alignment horizontal="center" vertical="center" shrinkToFit="1"/>
      <protection locked="0"/>
    </xf>
    <xf numFmtId="0" fontId="5" fillId="3" borderId="35" xfId="14" applyNumberFormat="1" applyFont="1" applyFill="1" applyBorder="1" applyAlignment="1" applyProtection="1">
      <alignment horizontal="center" vertical="center"/>
      <protection locked="0"/>
    </xf>
    <xf numFmtId="0" fontId="52" fillId="0" borderId="0" xfId="13" applyFont="1">
      <alignment vertical="center"/>
    </xf>
    <xf numFmtId="0" fontId="2" fillId="2" borderId="4" xfId="14" applyFont="1" applyFill="1" applyBorder="1"/>
    <xf numFmtId="242" fontId="2" fillId="2" borderId="3" xfId="14" applyNumberFormat="1" applyFont="1" applyFill="1" applyBorder="1" applyAlignment="1" applyProtection="1">
      <alignment horizontal="left"/>
      <protection locked="0"/>
    </xf>
    <xf numFmtId="0" fontId="2" fillId="2" borderId="3" xfId="14" applyFont="1" applyFill="1" applyBorder="1" applyProtection="1">
      <protection locked="0"/>
    </xf>
    <xf numFmtId="193" fontId="53" fillId="2" borderId="3" xfId="14" applyNumberFormat="1" applyFont="1" applyFill="1" applyBorder="1" applyProtection="1">
      <protection locked="0"/>
    </xf>
    <xf numFmtId="193" fontId="2" fillId="2" borderId="3" xfId="14" applyNumberFormat="1" applyFont="1" applyFill="1" applyBorder="1" applyProtection="1">
      <protection locked="0"/>
    </xf>
    <xf numFmtId="0" fontId="53" fillId="2" borderId="2" xfId="14" applyNumberFormat="1" applyFont="1" applyFill="1" applyBorder="1" applyAlignment="1" applyProtection="1">
      <alignment horizontal="left" vertical="center" indent="1"/>
      <protection locked="0"/>
    </xf>
    <xf numFmtId="0" fontId="5" fillId="3" borderId="38" xfId="14" applyNumberFormat="1" applyFont="1" applyFill="1" applyBorder="1" applyAlignment="1" applyProtection="1">
      <alignment horizontal="center" vertical="center"/>
      <protection locked="0"/>
    </xf>
    <xf numFmtId="3" fontId="50" fillId="23" borderId="450" xfId="14" applyNumberFormat="1" applyFont="1" applyFill="1" applyBorder="1" applyAlignment="1">
      <alignment vertical="center" shrinkToFit="1"/>
    </xf>
    <xf numFmtId="3" fontId="18" fillId="23" borderId="452" xfId="14" applyNumberFormat="1" applyFont="1" applyFill="1" applyBorder="1" applyAlignment="1">
      <alignment vertical="center"/>
    </xf>
    <xf numFmtId="3" fontId="50" fillId="23" borderId="453" xfId="14" applyNumberFormat="1" applyFont="1" applyFill="1" applyBorder="1" applyAlignment="1">
      <alignment vertical="center" shrinkToFit="1"/>
    </xf>
    <xf numFmtId="239" fontId="5" fillId="0" borderId="148" xfId="14" applyNumberFormat="1" applyFont="1" applyBorder="1" applyAlignment="1" applyProtection="1">
      <alignment shrinkToFit="1"/>
      <protection locked="0"/>
    </xf>
    <xf numFmtId="239" fontId="5" fillId="0" borderId="128" xfId="14" applyNumberFormat="1" applyFont="1" applyBorder="1" applyAlignment="1" applyProtection="1">
      <alignment shrinkToFit="1"/>
      <protection locked="0"/>
    </xf>
    <xf numFmtId="0" fontId="5" fillId="0" borderId="128" xfId="14" applyNumberFormat="1" applyFont="1" applyBorder="1" applyAlignment="1" applyProtection="1">
      <alignment shrinkToFit="1"/>
      <protection locked="0"/>
    </xf>
    <xf numFmtId="239" fontId="5" fillId="0" borderId="191" xfId="14" applyNumberFormat="1" applyFont="1" applyBorder="1" applyAlignment="1" applyProtection="1">
      <alignment horizontal="center" shrinkToFit="1"/>
      <protection locked="0"/>
    </xf>
    <xf numFmtId="0" fontId="5" fillId="3" borderId="38" xfId="14" applyNumberFormat="1" applyFont="1" applyFill="1" applyBorder="1" applyAlignment="1" applyProtection="1">
      <alignment horizontal="center" vertical="center" wrapText="1" shrinkToFit="1"/>
      <protection locked="0"/>
    </xf>
    <xf numFmtId="0" fontId="5" fillId="3" borderId="205" xfId="14" applyNumberFormat="1" applyFont="1" applyFill="1" applyBorder="1" applyAlignment="1" applyProtection="1">
      <alignment horizontal="center" vertical="center" wrapText="1"/>
      <protection locked="0"/>
    </xf>
    <xf numFmtId="0" fontId="5" fillId="3" borderId="40" xfId="14" applyFont="1" applyFill="1" applyBorder="1" applyAlignment="1" applyProtection="1">
      <alignment horizontal="center" vertical="center" wrapText="1" shrinkToFit="1"/>
      <protection locked="0"/>
    </xf>
    <xf numFmtId="0" fontId="5" fillId="3" borderId="40" xfId="14" applyFont="1" applyFill="1" applyBorder="1" applyAlignment="1" applyProtection="1">
      <alignment horizontal="center" vertical="center" wrapText="1" shrinkToFit="1"/>
      <protection locked="0"/>
    </xf>
    <xf numFmtId="0" fontId="5" fillId="17" borderId="201" xfId="14" applyNumberFormat="1" applyFont="1" applyFill="1" applyBorder="1" applyAlignment="1" applyProtection="1">
      <alignment horizontal="center" vertical="center"/>
      <protection locked="0"/>
    </xf>
    <xf numFmtId="0" fontId="5" fillId="17" borderId="79" xfId="14" applyNumberFormat="1" applyFont="1" applyFill="1" applyBorder="1" applyAlignment="1" applyProtection="1">
      <alignment horizontal="center" vertical="center"/>
      <protection locked="0"/>
    </xf>
    <xf numFmtId="0" fontId="5" fillId="17" borderId="368" xfId="14" applyNumberFormat="1" applyFont="1" applyFill="1" applyBorder="1" applyAlignment="1" applyProtection="1">
      <alignment horizontal="center" vertical="center"/>
      <protection locked="0"/>
    </xf>
    <xf numFmtId="0" fontId="5" fillId="16" borderId="201" xfId="14" applyNumberFormat="1" applyFont="1" applyFill="1" applyBorder="1" applyAlignment="1" applyProtection="1">
      <alignment horizontal="center" vertical="center"/>
      <protection locked="0"/>
    </xf>
    <xf numFmtId="0" fontId="5" fillId="16" borderId="79" xfId="14" applyNumberFormat="1" applyFont="1" applyFill="1" applyBorder="1" applyAlignment="1" applyProtection="1">
      <alignment horizontal="center" vertical="center"/>
      <protection locked="0"/>
    </xf>
    <xf numFmtId="0" fontId="5" fillId="16" borderId="368" xfId="14" applyNumberFormat="1" applyFont="1" applyFill="1" applyBorder="1" applyAlignment="1" applyProtection="1">
      <alignment horizontal="center" vertical="center"/>
      <protection locked="0"/>
    </xf>
    <xf numFmtId="0" fontId="5" fillId="3" borderId="215" xfId="14" applyFont="1" applyFill="1" applyBorder="1" applyAlignment="1" applyProtection="1">
      <alignment horizontal="center" vertical="center" wrapText="1" shrinkToFit="1"/>
      <protection locked="0"/>
    </xf>
    <xf numFmtId="0" fontId="5" fillId="3" borderId="400" xfId="14" applyFont="1" applyFill="1" applyBorder="1" applyAlignment="1" applyProtection="1">
      <alignment horizontal="center" vertical="center" wrapText="1" shrinkToFit="1"/>
      <protection locked="0"/>
    </xf>
    <xf numFmtId="0" fontId="5" fillId="3" borderId="217" xfId="14" applyFont="1" applyFill="1" applyBorder="1" applyAlignment="1" applyProtection="1">
      <alignment horizontal="center" vertical="center" wrapText="1" shrinkToFit="1"/>
      <protection locked="0"/>
    </xf>
    <xf numFmtId="0" fontId="5" fillId="3" borderId="35" xfId="14" applyNumberFormat="1" applyFont="1" applyFill="1" applyBorder="1" applyAlignment="1" applyProtection="1">
      <alignment horizontal="center" vertical="center" wrapText="1" shrinkToFit="1"/>
      <protection locked="0"/>
    </xf>
    <xf numFmtId="0" fontId="5" fillId="3" borderId="25" xfId="14" applyFont="1" applyFill="1" applyBorder="1" applyAlignment="1" applyProtection="1">
      <alignment horizontal="center" vertical="center" wrapText="1" shrinkToFit="1"/>
      <protection locked="0"/>
    </xf>
    <xf numFmtId="0" fontId="54" fillId="0" borderId="0" xfId="13" applyFont="1">
      <alignment vertical="center"/>
    </xf>
    <xf numFmtId="0" fontId="55" fillId="2" borderId="4" xfId="14" applyFont="1" applyFill="1" applyBorder="1"/>
    <xf numFmtId="242" fontId="55" fillId="2" borderId="3" xfId="14" applyNumberFormat="1" applyFont="1" applyFill="1" applyBorder="1" applyAlignment="1" applyProtection="1">
      <alignment horizontal="left"/>
      <protection locked="0"/>
    </xf>
    <xf numFmtId="0" fontId="55" fillId="2" borderId="3" xfId="14" applyFont="1" applyFill="1" applyBorder="1" applyProtection="1">
      <protection locked="0"/>
    </xf>
    <xf numFmtId="193" fontId="56" fillId="2" borderId="3" xfId="14" applyNumberFormat="1" applyFont="1" applyFill="1" applyBorder="1" applyProtection="1">
      <protection locked="0"/>
    </xf>
    <xf numFmtId="193" fontId="55" fillId="2" borderId="3" xfId="14" applyNumberFormat="1" applyFont="1" applyFill="1" applyBorder="1" applyProtection="1">
      <protection locked="0"/>
    </xf>
    <xf numFmtId="0" fontId="56" fillId="2" borderId="2" xfId="14" applyNumberFormat="1" applyFont="1" applyFill="1" applyBorder="1" applyAlignment="1" applyProtection="1">
      <alignment horizontal="left" vertical="center" indent="1"/>
      <protection locked="0"/>
    </xf>
    <xf numFmtId="0" fontId="5" fillId="3" borderId="254" xfId="14" applyFont="1" applyFill="1" applyBorder="1" applyAlignment="1" applyProtection="1">
      <alignment horizontal="center" vertical="center" wrapText="1" shrinkToFit="1"/>
      <protection locked="0"/>
    </xf>
    <xf numFmtId="239" fontId="18" fillId="0" borderId="425" xfId="14" applyNumberFormat="1" applyFont="1" applyBorder="1" applyAlignment="1" applyProtection="1">
      <alignment horizontal="center" vertical="center" shrinkToFit="1"/>
      <protection locked="0"/>
    </xf>
    <xf numFmtId="0" fontId="18" fillId="0" borderId="424" xfId="14" applyNumberFormat="1" applyFont="1" applyBorder="1" applyAlignment="1" applyProtection="1">
      <alignment vertical="center" shrinkToFit="1"/>
      <protection locked="0"/>
    </xf>
    <xf numFmtId="239" fontId="18" fillId="0" borderId="424" xfId="14" applyNumberFormat="1" applyFont="1" applyBorder="1" applyAlignment="1" applyProtection="1">
      <alignment vertical="center" shrinkToFit="1"/>
      <protection locked="0"/>
    </xf>
    <xf numFmtId="239" fontId="18" fillId="0" borderId="426" xfId="14" applyNumberFormat="1" applyFont="1" applyBorder="1" applyAlignment="1" applyProtection="1">
      <alignment vertical="center" shrinkToFit="1"/>
      <protection locked="0"/>
    </xf>
    <xf numFmtId="228" fontId="18" fillId="0" borderId="427" xfId="14" applyNumberFormat="1" applyFont="1" applyBorder="1" applyAlignment="1" applyProtection="1">
      <alignment vertical="center" shrinkToFit="1"/>
      <protection locked="0"/>
    </xf>
    <xf numFmtId="239" fontId="5" fillId="0" borderId="254" xfId="14" applyNumberFormat="1" applyFont="1" applyBorder="1" applyAlignment="1" applyProtection="1">
      <alignment horizontal="center" shrinkToFit="1"/>
      <protection locked="0"/>
    </xf>
    <xf numFmtId="0" fontId="5" fillId="0" borderId="40" xfId="14" applyNumberFormat="1" applyFont="1" applyBorder="1" applyAlignment="1" applyProtection="1">
      <alignment shrinkToFit="1"/>
      <protection locked="0"/>
    </xf>
    <xf numFmtId="239" fontId="5" fillId="0" borderId="40" xfId="14" applyNumberFormat="1" applyFont="1" applyBorder="1" applyAlignment="1" applyProtection="1">
      <alignment shrinkToFit="1"/>
      <protection locked="0"/>
    </xf>
    <xf numFmtId="239" fontId="5" fillId="0" borderId="205" xfId="14" applyNumberFormat="1" applyFont="1" applyBorder="1" applyAlignment="1" applyProtection="1">
      <alignment shrinkToFit="1"/>
      <protection locked="0"/>
    </xf>
    <xf numFmtId="239" fontId="18" fillId="0" borderId="435" xfId="14" applyNumberFormat="1" applyFont="1" applyBorder="1" applyAlignment="1" applyProtection="1">
      <alignment horizontal="center" vertical="center" shrinkToFit="1"/>
      <protection locked="0"/>
    </xf>
    <xf numFmtId="239" fontId="18" fillId="0" borderId="435" xfId="14" applyNumberFormat="1" applyFont="1" applyBorder="1" applyAlignment="1" applyProtection="1">
      <alignment vertical="center" shrinkToFit="1"/>
      <protection locked="0"/>
    </xf>
    <xf numFmtId="239" fontId="18" fillId="0" borderId="434" xfId="14" applyNumberFormat="1" applyFont="1" applyBorder="1" applyAlignment="1" applyProtection="1">
      <alignment vertical="center" shrinkToFit="1"/>
      <protection locked="0"/>
    </xf>
    <xf numFmtId="228" fontId="18" fillId="0" borderId="436" xfId="14" applyNumberFormat="1" applyFont="1" applyBorder="1" applyAlignment="1" applyProtection="1">
      <alignment vertical="center" shrinkToFit="1"/>
      <protection locked="0"/>
    </xf>
    <xf numFmtId="239" fontId="18" fillId="23" borderId="450" xfId="14" applyNumberFormat="1" applyFont="1" applyFill="1" applyBorder="1" applyAlignment="1">
      <alignment vertical="center" shrinkToFit="1"/>
    </xf>
    <xf numFmtId="0" fontId="18" fillId="23" borderId="451" xfId="14" applyNumberFormat="1" applyFont="1" applyFill="1" applyBorder="1" applyAlignment="1">
      <alignment vertical="center" shrinkToFit="1"/>
    </xf>
    <xf numFmtId="239" fontId="50" fillId="23" borderId="450" xfId="14" applyNumberFormat="1" applyFont="1" applyFill="1" applyBorder="1" applyAlignment="1">
      <alignment vertical="center" shrinkToFit="1"/>
    </xf>
    <xf numFmtId="239" fontId="50" fillId="23" borderId="451" xfId="14" applyNumberFormat="1" applyFont="1" applyFill="1" applyBorder="1" applyAlignment="1">
      <alignment vertical="center" shrinkToFit="1"/>
    </xf>
    <xf numFmtId="239" fontId="18" fillId="23" borderId="451" xfId="14" applyNumberFormat="1" applyFont="1" applyFill="1" applyBorder="1" applyAlignment="1">
      <alignment vertical="center" shrinkToFit="1"/>
    </xf>
    <xf numFmtId="228" fontId="18" fillId="23" borderId="452" xfId="14" applyNumberFormat="1" applyFont="1" applyFill="1" applyBorder="1" applyAlignment="1">
      <alignment vertical="center" shrinkToFit="1"/>
    </xf>
    <xf numFmtId="239" fontId="18" fillId="23" borderId="453" xfId="14" applyNumberFormat="1" applyFont="1" applyFill="1" applyBorder="1" applyAlignment="1">
      <alignment vertical="center" shrinkToFit="1"/>
    </xf>
    <xf numFmtId="0" fontId="18" fillId="23" borderId="454" xfId="14" applyNumberFormat="1" applyFont="1" applyFill="1" applyBorder="1" applyAlignment="1">
      <alignment vertical="center" shrinkToFit="1"/>
    </xf>
    <xf numFmtId="239" fontId="18" fillId="23" borderId="454" xfId="14" applyNumberFormat="1" applyFont="1" applyFill="1" applyBorder="1" applyAlignment="1">
      <alignment vertical="center" shrinkToFit="1"/>
    </xf>
    <xf numFmtId="228" fontId="18" fillId="23" borderId="455" xfId="14" applyNumberFormat="1" applyFont="1" applyFill="1" applyBorder="1" applyAlignment="1">
      <alignment vertical="center" shrinkToFit="1"/>
    </xf>
    <xf numFmtId="0" fontId="57" fillId="0" borderId="0" xfId="18" applyFont="1" applyProtection="1">
      <protection locked="0"/>
    </xf>
    <xf numFmtId="0" fontId="57" fillId="0" borderId="0" xfId="18" applyFont="1" applyAlignment="1" applyProtection="1">
      <alignment horizontal="center"/>
      <protection locked="0"/>
    </xf>
    <xf numFmtId="0" fontId="57" fillId="0" borderId="0" xfId="18" applyFont="1" applyBorder="1" applyProtection="1">
      <protection locked="0"/>
    </xf>
    <xf numFmtId="0" fontId="57" fillId="0" borderId="0" xfId="18" applyFont="1" applyBorder="1" applyAlignment="1" applyProtection="1">
      <alignment horizontal="center"/>
      <protection locked="0"/>
    </xf>
    <xf numFmtId="0" fontId="57" fillId="0" borderId="0" xfId="18" applyFont="1" applyAlignment="1" applyProtection="1">
      <alignment horizontal="center"/>
      <protection locked="0"/>
    </xf>
    <xf numFmtId="0" fontId="58" fillId="0" borderId="0" xfId="18" applyFont="1" applyAlignment="1" applyProtection="1">
      <alignment horizontal="center"/>
      <protection locked="0"/>
    </xf>
    <xf numFmtId="0" fontId="33" fillId="0" borderId="0" xfId="18" applyFont="1" applyAlignment="1" applyProtection="1">
      <alignment horizontal="center" shrinkToFit="1"/>
      <protection locked="0"/>
    </xf>
    <xf numFmtId="176" fontId="5" fillId="0" borderId="0" xfId="18" applyNumberFormat="1" applyFont="1" applyProtection="1"/>
    <xf numFmtId="0" fontId="5" fillId="0" borderId="0" xfId="18" applyFont="1" applyProtection="1">
      <protection locked="0"/>
    </xf>
    <xf numFmtId="55" fontId="58" fillId="0" borderId="0" xfId="18" applyNumberFormat="1" applyFont="1" applyAlignment="1" applyProtection="1">
      <alignment horizontal="center"/>
      <protection locked="0"/>
    </xf>
  </cellXfs>
  <cellStyles count="19">
    <cellStyle name="桁区切り 2" xfId="12"/>
    <cellStyle name="標準" xfId="0" builtinId="0"/>
    <cellStyle name="標準 2 2" xfId="3"/>
    <cellStyle name="標準 9 2 2" xfId="13"/>
    <cellStyle name="標準_A4横表紙_1" xfId="18"/>
    <cellStyle name="標準_Book2" xfId="4"/>
    <cellStyle name="標準_K値テーブル" xfId="8"/>
    <cellStyle name="標準_ｴｱﾊﾝ" xfId="14"/>
    <cellStyle name="標準_外部遮蔽_1" xfId="9"/>
    <cellStyle name="標準_空気線図" xfId="16"/>
    <cellStyle name="標準_空気線図_1" xfId="17"/>
    <cellStyle name="標準_空気線図リンクサンプル" xfId="15"/>
    <cellStyle name="標準_熱通過率" xfId="10"/>
    <cellStyle name="標準_熱負荷_1" xfId="1"/>
    <cellStyle name="標準_熱負荷計算書" xfId="2"/>
    <cellStyle name="標準_負荷計算" xfId="11"/>
    <cellStyle name="標準_負荷計算2000_1" xfId="5"/>
    <cellStyle name="標準_負荷計算2000_K値テーブル" xfId="7"/>
    <cellStyle name="標準_負荷計算基礎データ"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4137-4E27-8261-4217D1D72476}"/>
            </c:ext>
          </c:extLst>
        </c:ser>
        <c:ser>
          <c:idx val="1"/>
          <c:order val="1"/>
          <c:tx>
            <c:v>比エンタルピ座標軸</c:v>
          </c:tx>
          <c:spPr>
            <a:ln w="3175">
              <a:solidFill>
                <a:srgbClr val="000000"/>
              </a:solidFill>
              <a:prstDash val="solid"/>
            </a:ln>
          </c:spPr>
          <c:marker>
            <c:symbol val="none"/>
          </c:marker>
          <c:xVal>
            <c:numLit>
              <c:formatCode>General</c:formatCode>
              <c:ptCount val="2"/>
              <c:pt idx="0">
                <c:v>-10.178169782224485</c:v>
              </c:pt>
              <c:pt idx="1">
                <c:v>26.408799999999999</c:v>
              </c:pt>
            </c:numLit>
          </c:xVal>
          <c:yVal>
            <c:numLit>
              <c:formatCode>General</c:formatCode>
              <c:ptCount val="2"/>
              <c:pt idx="0">
                <c:v>2.4560824455002899E-3</c:v>
              </c:pt>
              <c:pt idx="1">
                <c:v>3.4000000000000002E-2</c:v>
              </c:pt>
            </c:numLit>
          </c:yVal>
          <c:smooth val="0"/>
          <c:extLst>
            <c:ext xmlns:c16="http://schemas.microsoft.com/office/drawing/2014/chart" uri="{C3380CC4-5D6E-409C-BE32-E72D297353CC}">
              <c16:uniqueId val="{00000001-4137-4E27-8261-4217D1D72476}"/>
            </c:ext>
          </c:extLst>
        </c:ser>
        <c:ser>
          <c:idx val="2"/>
          <c:order val="2"/>
          <c:tx>
            <c:v>比エンタルピ座標軸ラベル</c:v>
          </c:tx>
          <c:spPr>
            <a:ln w="3175">
              <a:solidFill>
                <a:srgbClr val="000000"/>
              </a:solidFill>
              <a:prstDash val="solid"/>
            </a:ln>
          </c:spPr>
          <c:marker>
            <c:symbol val="none"/>
          </c:marker>
          <c:dLbls>
            <c:dLbl>
              <c:idx val="0"/>
              <c:layout>
                <c:manualLayout>
                  <c:x val="-7.7204861111111106E-2"/>
                  <c:y val="-3.9173336640061513E-17"/>
                </c:manualLayout>
              </c:layout>
              <c:tx>
                <c:rich>
                  <a:bodyPr rot="-29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比エンタルピ </a:t>
                    </a:r>
                    <a:r>
                      <a:rPr lang="en-US"/>
                      <a:t>h [kJ/kg(DA)]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11.774012087110206</c:v>
              </c:pt>
            </c:numLit>
          </c:xVal>
          <c:yVal>
            <c:numLit>
              <c:formatCode>General</c:formatCode>
              <c:ptCount val="1"/>
              <c:pt idx="0">
                <c:v>2.1382432978200118E-2</c:v>
              </c:pt>
            </c:numLit>
          </c:yVal>
          <c:smooth val="0"/>
          <c:extLst>
            <c:ext xmlns:c16="http://schemas.microsoft.com/office/drawing/2014/chart" uri="{C3380CC4-5D6E-409C-BE32-E72D297353CC}">
              <c16:uniqueId val="{00000003-4137-4E27-8261-4217D1D72476}"/>
            </c:ext>
          </c:extLst>
        </c:ser>
        <c:ser>
          <c:idx val="3"/>
          <c:order val="3"/>
          <c:tx>
            <c:v>h=-9</c:v>
          </c:tx>
          <c:spPr>
            <a:ln w="3175">
              <a:solidFill>
                <a:srgbClr val="808080"/>
              </a:solidFill>
              <a:prstDash val="solid"/>
            </a:ln>
          </c:spPr>
          <c:marker>
            <c:symbol val="none"/>
          </c:marker>
          <c:xVal>
            <c:numLit>
              <c:formatCode>General</c:formatCode>
              <c:ptCount val="2"/>
              <c:pt idx="0">
                <c:v>-11.760874015442164</c:v>
              </c:pt>
              <c:pt idx="1">
                <c:v>-11.460874015442165</c:v>
              </c:pt>
            </c:numLit>
          </c:xVal>
          <c:yVal>
            <c:numLit>
              <c:formatCode>General</c:formatCode>
              <c:ptCount val="2"/>
              <c:pt idx="0">
                <c:v>1.0915340244929911E-3</c:v>
              </c:pt>
              <c:pt idx="1">
                <c:v>9.7292658151792533E-4</c:v>
              </c:pt>
            </c:numLit>
          </c:yVal>
          <c:smooth val="0"/>
          <c:extLst>
            <c:ext xmlns:c16="http://schemas.microsoft.com/office/drawing/2014/chart" uri="{C3380CC4-5D6E-409C-BE32-E72D297353CC}">
              <c16:uniqueId val="{00000004-4137-4E27-8261-4217D1D72476}"/>
            </c:ext>
          </c:extLst>
        </c:ser>
        <c:ser>
          <c:idx val="4"/>
          <c:order val="4"/>
          <c:tx>
            <c:v>h=-8</c:v>
          </c:tx>
          <c:spPr>
            <a:ln w="3175">
              <a:solidFill>
                <a:srgbClr val="808080"/>
              </a:solidFill>
              <a:prstDash val="solid"/>
            </a:ln>
          </c:spPr>
          <c:marker>
            <c:symbol val="none"/>
          </c:marker>
          <c:xVal>
            <c:numLit>
              <c:formatCode>General</c:formatCode>
              <c:ptCount val="2"/>
              <c:pt idx="0">
                <c:v>-11.452465233740831</c:v>
              </c:pt>
              <c:pt idx="1">
                <c:v>-11.152465233740831</c:v>
              </c:pt>
            </c:numLit>
          </c:xVal>
          <c:yVal>
            <c:numLit>
              <c:formatCode>General</c:formatCode>
              <c:ptCount val="2"/>
              <c:pt idx="0">
                <c:v>1.3574325463158354E-3</c:v>
              </c:pt>
              <c:pt idx="1">
                <c:v>1.2394792183822454E-3</c:v>
              </c:pt>
            </c:numLit>
          </c:yVal>
          <c:smooth val="0"/>
          <c:extLst>
            <c:ext xmlns:c16="http://schemas.microsoft.com/office/drawing/2014/chart" uri="{C3380CC4-5D6E-409C-BE32-E72D297353CC}">
              <c16:uniqueId val="{00000005-4137-4E27-8261-4217D1D72476}"/>
            </c:ext>
          </c:extLst>
        </c:ser>
        <c:ser>
          <c:idx val="5"/>
          <c:order val="5"/>
          <c:tx>
            <c:v>h=-7</c:v>
          </c:tx>
          <c:spPr>
            <a:ln w="3175">
              <a:solidFill>
                <a:srgbClr val="808080"/>
              </a:solidFill>
              <a:prstDash val="solid"/>
            </a:ln>
          </c:spPr>
          <c:marker>
            <c:symbol val="none"/>
          </c:marker>
          <c:xVal>
            <c:numLit>
              <c:formatCode>General</c:formatCode>
              <c:ptCount val="2"/>
              <c:pt idx="0">
                <c:v>-11.144056452039498</c:v>
              </c:pt>
              <c:pt idx="1">
                <c:v>-10.844056452039498</c:v>
              </c:pt>
            </c:numLit>
          </c:xVal>
          <c:yVal>
            <c:numLit>
              <c:formatCode>General</c:formatCode>
              <c:ptCount val="2"/>
              <c:pt idx="0">
                <c:v>1.6233310681386798E-3</c:v>
              </c:pt>
              <c:pt idx="1">
                <c:v>1.5058135279994939E-3</c:v>
              </c:pt>
            </c:numLit>
          </c:yVal>
          <c:smooth val="0"/>
          <c:extLst>
            <c:ext xmlns:c16="http://schemas.microsoft.com/office/drawing/2014/chart" uri="{C3380CC4-5D6E-409C-BE32-E72D297353CC}">
              <c16:uniqueId val="{00000006-4137-4E27-8261-4217D1D72476}"/>
            </c:ext>
          </c:extLst>
        </c:ser>
        <c:ser>
          <c:idx val="6"/>
          <c:order val="6"/>
          <c:tx>
            <c:v>h=-6</c:v>
          </c:tx>
          <c:spPr>
            <a:ln w="3175">
              <a:solidFill>
                <a:srgbClr val="808080"/>
              </a:solidFill>
              <a:prstDash val="solid"/>
            </a:ln>
          </c:spPr>
          <c:marker>
            <c:symbol val="none"/>
          </c:marker>
          <c:xVal>
            <c:numLit>
              <c:formatCode>General</c:formatCode>
              <c:ptCount val="2"/>
              <c:pt idx="0">
                <c:v>-10.835647670338163</c:v>
              </c:pt>
              <c:pt idx="1">
                <c:v>-10.535647670338165</c:v>
              </c:pt>
            </c:numLit>
          </c:xVal>
          <c:yVal>
            <c:numLit>
              <c:formatCode>General</c:formatCode>
              <c:ptCount val="2"/>
              <c:pt idx="0">
                <c:v>1.8892295899615242E-3</c:v>
              </c:pt>
              <c:pt idx="1">
                <c:v>1.7720231854368492E-3</c:v>
              </c:pt>
            </c:numLit>
          </c:yVal>
          <c:smooth val="0"/>
          <c:extLst>
            <c:ext xmlns:c16="http://schemas.microsoft.com/office/drawing/2014/chart" uri="{C3380CC4-5D6E-409C-BE32-E72D297353CC}">
              <c16:uniqueId val="{00000007-4137-4E27-8261-4217D1D72476}"/>
            </c:ext>
          </c:extLst>
        </c:ser>
        <c:ser>
          <c:idx val="7"/>
          <c:order val="7"/>
          <c:tx>
            <c:v>h=-5</c:v>
          </c:tx>
          <c:spPr>
            <a:ln w="3175">
              <a:solidFill>
                <a:srgbClr val="808080"/>
              </a:solidFill>
              <a:prstDash val="solid"/>
            </a:ln>
          </c:spPr>
          <c:marker>
            <c:symbol val="none"/>
          </c:marker>
          <c:dLbls>
            <c:dLbl>
              <c:idx val="0"/>
              <c:layout>
                <c:manualLayout>
                  <c:x val="-5.2083333333333296E-3"/>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-10.52723888863683</c:v>
              </c:pt>
              <c:pt idx="1">
                <c:v>-5</c:v>
              </c:pt>
            </c:numLit>
          </c:xVal>
          <c:yVal>
            <c:numLit>
              <c:formatCode>General</c:formatCode>
              <c:ptCount val="2"/>
              <c:pt idx="0">
                <c:v>2.1551281117843687E-3</c:v>
              </c:pt>
              <c:pt idx="1">
                <c:v>0</c:v>
              </c:pt>
            </c:numLit>
          </c:yVal>
          <c:smooth val="0"/>
          <c:extLst>
            <c:ext xmlns:c16="http://schemas.microsoft.com/office/drawing/2014/chart" uri="{C3380CC4-5D6E-409C-BE32-E72D297353CC}">
              <c16:uniqueId val="{00000009-4137-4E27-8261-4217D1D72476}"/>
            </c:ext>
          </c:extLst>
        </c:ser>
        <c:ser>
          <c:idx val="8"/>
          <c:order val="8"/>
          <c:tx>
            <c:v>h=-4</c:v>
          </c:tx>
          <c:spPr>
            <a:ln w="3175">
              <a:solidFill>
                <a:srgbClr val="808080"/>
              </a:solidFill>
              <a:prstDash val="solid"/>
            </a:ln>
          </c:spPr>
          <c:marker>
            <c:symbol val="none"/>
          </c:marker>
          <c:xVal>
            <c:numLit>
              <c:formatCode>General</c:formatCode>
              <c:ptCount val="2"/>
              <c:pt idx="0">
                <c:v>-10.218830106935497</c:v>
              </c:pt>
              <c:pt idx="1">
                <c:v>-9.9188301069354967</c:v>
              </c:pt>
            </c:numLit>
          </c:xVal>
          <c:yVal>
            <c:numLit>
              <c:formatCode>General</c:formatCode>
              <c:ptCount val="2"/>
              <c:pt idx="0">
                <c:v>2.4210266336072133E-3</c:v>
              </c:pt>
              <c:pt idx="1">
                <c:v>2.3042348934257033E-3</c:v>
              </c:pt>
            </c:numLit>
          </c:yVal>
          <c:smooth val="0"/>
          <c:extLst>
            <c:ext xmlns:c16="http://schemas.microsoft.com/office/drawing/2014/chart" uri="{C3380CC4-5D6E-409C-BE32-E72D297353CC}">
              <c16:uniqueId val="{0000000A-4137-4E27-8261-4217D1D72476}"/>
            </c:ext>
          </c:extLst>
        </c:ser>
        <c:ser>
          <c:idx val="9"/>
          <c:order val="9"/>
          <c:tx>
            <c:v>h=-3</c:v>
          </c:tx>
          <c:spPr>
            <a:ln w="3175">
              <a:solidFill>
                <a:srgbClr val="808080"/>
              </a:solidFill>
              <a:prstDash val="solid"/>
            </a:ln>
          </c:spPr>
          <c:marker>
            <c:symbol val="none"/>
          </c:marker>
          <c:xVal>
            <c:numLit>
              <c:formatCode>General</c:formatCode>
              <c:ptCount val="2"/>
              <c:pt idx="0">
                <c:v>-9.9104213252341626</c:v>
              </c:pt>
              <c:pt idx="1">
                <c:v>-9.6104213252341637</c:v>
              </c:pt>
            </c:numLit>
          </c:xVal>
          <c:yVal>
            <c:numLit>
              <c:formatCode>General</c:formatCode>
              <c:ptCount val="2"/>
              <c:pt idx="0">
                <c:v>2.6869251554300574E-3</c:v>
              </c:pt>
              <c:pt idx="1">
                <c:v>2.5702784983462792E-3</c:v>
              </c:pt>
            </c:numLit>
          </c:yVal>
          <c:smooth val="0"/>
          <c:extLst>
            <c:ext xmlns:c16="http://schemas.microsoft.com/office/drawing/2014/chart" uri="{C3380CC4-5D6E-409C-BE32-E72D297353CC}">
              <c16:uniqueId val="{0000000B-4137-4E27-8261-4217D1D72476}"/>
            </c:ext>
          </c:extLst>
        </c:ser>
        <c:ser>
          <c:idx val="10"/>
          <c:order val="10"/>
          <c:tx>
            <c:v>h=-2</c:v>
          </c:tx>
          <c:spPr>
            <a:ln w="3175">
              <a:solidFill>
                <a:srgbClr val="808080"/>
              </a:solidFill>
              <a:prstDash val="solid"/>
            </a:ln>
          </c:spPr>
          <c:marker>
            <c:symbol val="none"/>
          </c:marker>
          <c:xVal>
            <c:numLit>
              <c:formatCode>General</c:formatCode>
              <c:ptCount val="2"/>
              <c:pt idx="0">
                <c:v>-9.6020125435328296</c:v>
              </c:pt>
              <c:pt idx="1">
                <c:v>-9.3020125435328289</c:v>
              </c:pt>
            </c:numLit>
          </c:xVal>
          <c:yVal>
            <c:numLit>
              <c:formatCode>General</c:formatCode>
              <c:ptCount val="2"/>
              <c:pt idx="0">
                <c:v>2.952823677252902E-3</c:v>
              </c:pt>
              <c:pt idx="1">
                <c:v>2.8362957054687095E-3</c:v>
              </c:pt>
            </c:numLit>
          </c:yVal>
          <c:smooth val="0"/>
          <c:extLst>
            <c:ext xmlns:c16="http://schemas.microsoft.com/office/drawing/2014/chart" uri="{C3380CC4-5D6E-409C-BE32-E72D297353CC}">
              <c16:uniqueId val="{0000000C-4137-4E27-8261-4217D1D72476}"/>
            </c:ext>
          </c:extLst>
        </c:ser>
        <c:ser>
          <c:idx val="11"/>
          <c:order val="11"/>
          <c:tx>
            <c:v>h=-1</c:v>
          </c:tx>
          <c:spPr>
            <a:ln w="3175">
              <a:solidFill>
                <a:srgbClr val="808080"/>
              </a:solidFill>
              <a:prstDash val="solid"/>
            </a:ln>
          </c:spPr>
          <c:marker>
            <c:symbol val="none"/>
          </c:marker>
          <c:xVal>
            <c:numLit>
              <c:formatCode>General</c:formatCode>
              <c:ptCount val="2"/>
              <c:pt idx="0">
                <c:v>-9.2936037618314966</c:v>
              </c:pt>
              <c:pt idx="1">
                <c:v>-8.9936037618314959</c:v>
              </c:pt>
            </c:numLit>
          </c:xVal>
          <c:yVal>
            <c:numLit>
              <c:formatCode>General</c:formatCode>
              <c:ptCount val="2"/>
              <c:pt idx="0">
                <c:v>3.2187221990757462E-3</c:v>
              </c:pt>
              <c:pt idx="1">
                <c:v>3.102293118611757E-3</c:v>
              </c:pt>
            </c:numLit>
          </c:yVal>
          <c:smooth val="0"/>
          <c:extLst>
            <c:ext xmlns:c16="http://schemas.microsoft.com/office/drawing/2014/chart" uri="{C3380CC4-5D6E-409C-BE32-E72D297353CC}">
              <c16:uniqueId val="{0000000D-4137-4E27-8261-4217D1D72476}"/>
            </c:ext>
          </c:extLst>
        </c:ser>
        <c:ser>
          <c:idx val="12"/>
          <c:order val="12"/>
          <c:tx>
            <c:v>h=0</c:v>
          </c:tx>
          <c:spPr>
            <a:ln w="3175">
              <a:solidFill>
                <a:srgbClr val="808080"/>
              </a:solidFill>
              <a:prstDash val="solid"/>
            </a:ln>
          </c:spPr>
          <c:marker>
            <c:symbol val="none"/>
          </c:marker>
          <c:dLbls>
            <c:dLbl>
              <c:idx val="0"/>
              <c:layout>
                <c:manualLayout>
                  <c:x val="-2.8094242125984253E-2"/>
                  <c:y val="-6.52567467528113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-8.9851949801301618</c:v>
              </c:pt>
              <c:pt idx="1">
                <c:v>0</c:v>
              </c:pt>
            </c:numLit>
          </c:xVal>
          <c:yVal>
            <c:numLit>
              <c:formatCode>General</c:formatCode>
              <c:ptCount val="2"/>
              <c:pt idx="0">
                <c:v>3.4846207208985907E-3</c:v>
              </c:pt>
              <c:pt idx="1">
                <c:v>0</c:v>
              </c:pt>
            </c:numLit>
          </c:yVal>
          <c:smooth val="0"/>
          <c:extLst>
            <c:ext xmlns:c16="http://schemas.microsoft.com/office/drawing/2014/chart" uri="{C3380CC4-5D6E-409C-BE32-E72D297353CC}">
              <c16:uniqueId val="{0000000F-4137-4E27-8261-4217D1D72476}"/>
            </c:ext>
          </c:extLst>
        </c:ser>
        <c:ser>
          <c:idx val="13"/>
          <c:order val="13"/>
          <c:tx>
            <c:v>h=1</c:v>
          </c:tx>
          <c:spPr>
            <a:ln w="3175">
              <a:solidFill>
                <a:srgbClr val="808080"/>
              </a:solidFill>
              <a:prstDash val="solid"/>
            </a:ln>
          </c:spPr>
          <c:marker>
            <c:symbol val="none"/>
          </c:marker>
          <c:xVal>
            <c:numLit>
              <c:formatCode>General</c:formatCode>
              <c:ptCount val="2"/>
              <c:pt idx="0">
                <c:v>-8.6767861984288288</c:v>
              </c:pt>
              <c:pt idx="1">
                <c:v>-8.3767861984288281</c:v>
              </c:pt>
            </c:numLit>
          </c:xVal>
          <c:yVal>
            <c:numLit>
              <c:formatCode>General</c:formatCode>
              <c:ptCount val="2"/>
              <c:pt idx="0">
                <c:v>3.7505192427214353E-3</c:v>
              </c:pt>
              <c:pt idx="1">
                <c:v>3.6342455388548439E-3</c:v>
              </c:pt>
            </c:numLit>
          </c:yVal>
          <c:smooth val="0"/>
          <c:extLst>
            <c:ext xmlns:c16="http://schemas.microsoft.com/office/drawing/2014/chart" uri="{C3380CC4-5D6E-409C-BE32-E72D297353CC}">
              <c16:uniqueId val="{00000010-4137-4E27-8261-4217D1D72476}"/>
            </c:ext>
          </c:extLst>
        </c:ser>
        <c:ser>
          <c:idx val="14"/>
          <c:order val="14"/>
          <c:tx>
            <c:v>h=2</c:v>
          </c:tx>
          <c:spPr>
            <a:ln w="3175">
              <a:solidFill>
                <a:srgbClr val="808080"/>
              </a:solidFill>
              <a:prstDash val="solid"/>
            </a:ln>
          </c:spPr>
          <c:marker>
            <c:symbol val="none"/>
          </c:marker>
          <c:xVal>
            <c:numLit>
              <c:formatCode>General</c:formatCode>
              <c:ptCount val="2"/>
              <c:pt idx="0">
                <c:v>-8.3683774167274958</c:v>
              </c:pt>
              <c:pt idx="1">
                <c:v>-8.0683774167274951</c:v>
              </c:pt>
            </c:numLit>
          </c:xVal>
          <c:yVal>
            <c:numLit>
              <c:formatCode>General</c:formatCode>
              <c:ptCount val="2"/>
              <c:pt idx="0">
                <c:v>4.0164177645442799E-3</c:v>
              </c:pt>
              <c:pt idx="1">
                <c:v>3.9002062030882552E-3</c:v>
              </c:pt>
            </c:numLit>
          </c:yVal>
          <c:smooth val="0"/>
          <c:extLst>
            <c:ext xmlns:c16="http://schemas.microsoft.com/office/drawing/2014/chart" uri="{C3380CC4-5D6E-409C-BE32-E72D297353CC}">
              <c16:uniqueId val="{00000011-4137-4E27-8261-4217D1D72476}"/>
            </c:ext>
          </c:extLst>
        </c:ser>
        <c:ser>
          <c:idx val="15"/>
          <c:order val="15"/>
          <c:tx>
            <c:v>h=3</c:v>
          </c:tx>
          <c:spPr>
            <a:ln w="3175">
              <a:solidFill>
                <a:srgbClr val="808080"/>
              </a:solidFill>
              <a:prstDash val="solid"/>
            </a:ln>
          </c:spPr>
          <c:marker>
            <c:symbol val="none"/>
          </c:marker>
          <c:xVal>
            <c:numLit>
              <c:formatCode>General</c:formatCode>
              <c:ptCount val="2"/>
              <c:pt idx="0">
                <c:v>-8.059968635026161</c:v>
              </c:pt>
              <c:pt idx="1">
                <c:v>-7.7599686350261612</c:v>
              </c:pt>
            </c:numLit>
          </c:xVal>
          <c:yVal>
            <c:numLit>
              <c:formatCode>General</c:formatCode>
              <c:ptCount val="2"/>
              <c:pt idx="0">
                <c:v>4.282316286367124E-3</c:v>
              </c:pt>
              <c:pt idx="1">
                <c:v>4.1661590956639247E-3</c:v>
              </c:pt>
            </c:numLit>
          </c:yVal>
          <c:smooth val="0"/>
          <c:extLst>
            <c:ext xmlns:c16="http://schemas.microsoft.com/office/drawing/2014/chart" uri="{C3380CC4-5D6E-409C-BE32-E72D297353CC}">
              <c16:uniqueId val="{00000012-4137-4E27-8261-4217D1D72476}"/>
            </c:ext>
          </c:extLst>
        </c:ser>
        <c:ser>
          <c:idx val="16"/>
          <c:order val="16"/>
          <c:tx>
            <c:v>h=4</c:v>
          </c:tx>
          <c:spPr>
            <a:ln w="3175">
              <a:solidFill>
                <a:srgbClr val="808080"/>
              </a:solidFill>
              <a:prstDash val="solid"/>
            </a:ln>
          </c:spPr>
          <c:marker>
            <c:symbol val="none"/>
          </c:marker>
          <c:xVal>
            <c:numLit>
              <c:formatCode>General</c:formatCode>
              <c:ptCount val="2"/>
              <c:pt idx="0">
                <c:v>-7.751559853324828</c:v>
              </c:pt>
              <c:pt idx="1">
                <c:v>-7.4515598533248282</c:v>
              </c:pt>
            </c:numLit>
          </c:xVal>
          <c:yVal>
            <c:numLit>
              <c:formatCode>General</c:formatCode>
              <c:ptCount val="2"/>
              <c:pt idx="0">
                <c:v>4.5482148081899682E-3</c:v>
              </c:pt>
              <c:pt idx="1">
                <c:v>4.4321055886916774E-3</c:v>
              </c:pt>
            </c:numLit>
          </c:yVal>
          <c:smooth val="0"/>
          <c:extLst>
            <c:ext xmlns:c16="http://schemas.microsoft.com/office/drawing/2014/chart" uri="{C3380CC4-5D6E-409C-BE32-E72D297353CC}">
              <c16:uniqueId val="{00000013-4137-4E27-8261-4217D1D72476}"/>
            </c:ext>
          </c:extLst>
        </c:ser>
        <c:ser>
          <c:idx val="17"/>
          <c:order val="17"/>
          <c:tx>
            <c:v>h=5</c:v>
          </c:tx>
          <c:spPr>
            <a:ln w="3175">
              <a:solidFill>
                <a:srgbClr val="808080"/>
              </a:solidFill>
              <a:prstDash val="solid"/>
            </a:ln>
          </c:spPr>
          <c:marker>
            <c:symbol val="none"/>
          </c:marker>
          <c:dLbls>
            <c:dLbl>
              <c:idx val="0"/>
              <c:layout>
                <c:manualLayout>
                  <c:x val="-2.809424212598426E-2"/>
                  <c:y val="-6.52567467528113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-7.4431510716234941</c:v>
              </c:pt>
              <c:pt idx="1">
                <c:v>5</c:v>
              </c:pt>
            </c:numLit>
          </c:xVal>
          <c:yVal>
            <c:numLit>
              <c:formatCode>General</c:formatCode>
              <c:ptCount val="2"/>
              <c:pt idx="0">
                <c:v>4.8141133300128132E-3</c:v>
              </c:pt>
              <c:pt idx="1">
                <c:v>0</c:v>
              </c:pt>
            </c:numLit>
          </c:yVal>
          <c:smooth val="0"/>
          <c:extLst>
            <c:ext xmlns:c16="http://schemas.microsoft.com/office/drawing/2014/chart" uri="{C3380CC4-5D6E-409C-BE32-E72D297353CC}">
              <c16:uniqueId val="{00000015-4137-4E27-8261-4217D1D72476}"/>
            </c:ext>
          </c:extLst>
        </c:ser>
        <c:ser>
          <c:idx val="18"/>
          <c:order val="18"/>
          <c:tx>
            <c:v>h=6</c:v>
          </c:tx>
          <c:spPr>
            <a:ln w="3175">
              <a:solidFill>
                <a:srgbClr val="808080"/>
              </a:solidFill>
              <a:prstDash val="solid"/>
            </a:ln>
          </c:spPr>
          <c:marker>
            <c:symbol val="none"/>
          </c:marker>
          <c:xVal>
            <c:numLit>
              <c:formatCode>General</c:formatCode>
              <c:ptCount val="2"/>
              <c:pt idx="0">
                <c:v>-7.1347422899221611</c:v>
              </c:pt>
              <c:pt idx="1">
                <c:v>-6.8347422899221613</c:v>
              </c:pt>
            </c:numLit>
          </c:xVal>
          <c:yVal>
            <c:numLit>
              <c:formatCode>General</c:formatCode>
              <c:ptCount val="2"/>
              <c:pt idx="0">
                <c:v>5.0800118518356573E-3</c:v>
              </c:pt>
              <c:pt idx="1">
                <c:v>4.9639834196128175E-3</c:v>
              </c:pt>
            </c:numLit>
          </c:yVal>
          <c:smooth val="0"/>
          <c:extLst>
            <c:ext xmlns:c16="http://schemas.microsoft.com/office/drawing/2014/chart" uri="{C3380CC4-5D6E-409C-BE32-E72D297353CC}">
              <c16:uniqueId val="{00000016-4137-4E27-8261-4217D1D72476}"/>
            </c:ext>
          </c:extLst>
        </c:ser>
        <c:ser>
          <c:idx val="19"/>
          <c:order val="19"/>
          <c:tx>
            <c:v>h=7</c:v>
          </c:tx>
          <c:spPr>
            <a:ln w="3175">
              <a:solidFill>
                <a:srgbClr val="808080"/>
              </a:solidFill>
              <a:prstDash val="solid"/>
            </a:ln>
          </c:spPr>
          <c:marker>
            <c:symbol val="none"/>
          </c:marker>
          <c:xVal>
            <c:numLit>
              <c:formatCode>General</c:formatCode>
              <c:ptCount val="2"/>
              <c:pt idx="0">
                <c:v>-6.8263335082208272</c:v>
              </c:pt>
              <c:pt idx="1">
                <c:v>-6.5263335082208274</c:v>
              </c:pt>
            </c:numLit>
          </c:xVal>
          <c:yVal>
            <c:numLit>
              <c:formatCode>General</c:formatCode>
              <c:ptCount val="2"/>
              <c:pt idx="0">
                <c:v>5.3459103736585014E-3</c:v>
              </c:pt>
              <c:pt idx="1">
                <c:v>5.2299162736214972E-3</c:v>
              </c:pt>
            </c:numLit>
          </c:yVal>
          <c:smooth val="0"/>
          <c:extLst>
            <c:ext xmlns:c16="http://schemas.microsoft.com/office/drawing/2014/chart" uri="{C3380CC4-5D6E-409C-BE32-E72D297353CC}">
              <c16:uniqueId val="{00000017-4137-4E27-8261-4217D1D72476}"/>
            </c:ext>
          </c:extLst>
        </c:ser>
        <c:ser>
          <c:idx val="20"/>
          <c:order val="20"/>
          <c:tx>
            <c:v>h=8</c:v>
          </c:tx>
          <c:spPr>
            <a:ln w="3175">
              <a:solidFill>
                <a:srgbClr val="808080"/>
              </a:solidFill>
              <a:prstDash val="solid"/>
            </a:ln>
          </c:spPr>
          <c:marker>
            <c:symbol val="none"/>
          </c:marker>
          <c:xVal>
            <c:numLit>
              <c:formatCode>General</c:formatCode>
              <c:ptCount val="2"/>
              <c:pt idx="0">
                <c:v>-6.5179247265194933</c:v>
              </c:pt>
              <c:pt idx="1">
                <c:v>-6.2179247265194935</c:v>
              </c:pt>
            </c:numLit>
          </c:xVal>
          <c:yVal>
            <c:numLit>
              <c:formatCode>General</c:formatCode>
              <c:ptCount val="2"/>
              <c:pt idx="0">
                <c:v>5.6118088954813464E-3</c:v>
              </c:pt>
              <c:pt idx="1">
                <c:v>5.4958458566615404E-3</c:v>
              </c:pt>
            </c:numLit>
          </c:yVal>
          <c:smooth val="0"/>
          <c:extLst>
            <c:ext xmlns:c16="http://schemas.microsoft.com/office/drawing/2014/chart" uri="{C3380CC4-5D6E-409C-BE32-E72D297353CC}">
              <c16:uniqueId val="{00000018-4137-4E27-8261-4217D1D72476}"/>
            </c:ext>
          </c:extLst>
        </c:ser>
        <c:ser>
          <c:idx val="21"/>
          <c:order val="21"/>
          <c:tx>
            <c:v>h=9</c:v>
          </c:tx>
          <c:spPr>
            <a:ln w="3175">
              <a:solidFill>
                <a:srgbClr val="808080"/>
              </a:solidFill>
              <a:prstDash val="solid"/>
            </a:ln>
          </c:spPr>
          <c:marker>
            <c:symbol val="none"/>
          </c:marker>
          <c:xVal>
            <c:numLit>
              <c:formatCode>General</c:formatCode>
              <c:ptCount val="2"/>
              <c:pt idx="0">
                <c:v>-6.2095159448181603</c:v>
              </c:pt>
              <c:pt idx="1">
                <c:v>-5.9095159448181604</c:v>
              </c:pt>
            </c:numLit>
          </c:xVal>
          <c:yVal>
            <c:numLit>
              <c:formatCode>General</c:formatCode>
              <c:ptCount val="2"/>
              <c:pt idx="0">
                <c:v>5.8777074173041906E-3</c:v>
              </c:pt>
              <c:pt idx="1">
                <c:v>5.7617726149351506E-3</c:v>
              </c:pt>
            </c:numLit>
          </c:yVal>
          <c:smooth val="0"/>
          <c:extLst>
            <c:ext xmlns:c16="http://schemas.microsoft.com/office/drawing/2014/chart" uri="{C3380CC4-5D6E-409C-BE32-E72D297353CC}">
              <c16:uniqueId val="{00000019-4137-4E27-8261-4217D1D72476}"/>
            </c:ext>
          </c:extLst>
        </c:ser>
        <c:ser>
          <c:idx val="22"/>
          <c:order val="22"/>
          <c:tx>
            <c:v>h=10</c:v>
          </c:tx>
          <c:spPr>
            <a:ln w="3175">
              <a:solidFill>
                <a:srgbClr val="808080"/>
              </a:solidFill>
              <a:prstDash val="solid"/>
            </a:ln>
          </c:spPr>
          <c:marker>
            <c:symbol val="none"/>
          </c:marker>
          <c:dLbls>
            <c:dLbl>
              <c:idx val="0"/>
              <c:layout>
                <c:manualLayout>
                  <c:x val="-3.0087489063867018E-2"/>
                  <c:y val="-9.34770172959165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-5.9011071631168264</c:v>
              </c:pt>
              <c:pt idx="1">
                <c:v>10</c:v>
              </c:pt>
            </c:numLit>
          </c:xVal>
          <c:yVal>
            <c:numLit>
              <c:formatCode>General</c:formatCode>
              <c:ptCount val="2"/>
              <c:pt idx="0">
                <c:v>6.1436059391270347E-3</c:v>
              </c:pt>
              <c:pt idx="1">
                <c:v>0</c:v>
              </c:pt>
            </c:numLit>
          </c:yVal>
          <c:smooth val="0"/>
          <c:extLst>
            <c:ext xmlns:c16="http://schemas.microsoft.com/office/drawing/2014/chart" uri="{C3380CC4-5D6E-409C-BE32-E72D297353CC}">
              <c16:uniqueId val="{0000001B-4137-4E27-8261-4217D1D72476}"/>
            </c:ext>
          </c:extLst>
        </c:ser>
        <c:ser>
          <c:idx val="23"/>
          <c:order val="23"/>
          <c:tx>
            <c:v>h=11</c:v>
          </c:tx>
          <c:spPr>
            <a:ln w="3175">
              <a:solidFill>
                <a:srgbClr val="808080"/>
              </a:solidFill>
              <a:prstDash val="solid"/>
            </a:ln>
          </c:spPr>
          <c:marker>
            <c:symbol val="none"/>
          </c:marker>
          <c:xVal>
            <c:numLit>
              <c:formatCode>General</c:formatCode>
              <c:ptCount val="2"/>
              <c:pt idx="0">
                <c:v>-5.5926983814154925</c:v>
              </c:pt>
              <c:pt idx="1">
                <c:v>-5.2926983814154926</c:v>
              </c:pt>
            </c:numLit>
          </c:xVal>
          <c:yVal>
            <c:numLit>
              <c:formatCode>General</c:formatCode>
              <c:ptCount val="2"/>
              <c:pt idx="0">
                <c:v>6.4095044609498797E-3</c:v>
              </c:pt>
              <c:pt idx="1">
                <c:v>6.2936190700336779E-3</c:v>
              </c:pt>
            </c:numLit>
          </c:yVal>
          <c:smooth val="0"/>
          <c:extLst>
            <c:ext xmlns:c16="http://schemas.microsoft.com/office/drawing/2014/chart" uri="{C3380CC4-5D6E-409C-BE32-E72D297353CC}">
              <c16:uniqueId val="{0000001C-4137-4E27-8261-4217D1D72476}"/>
            </c:ext>
          </c:extLst>
        </c:ser>
        <c:ser>
          <c:idx val="24"/>
          <c:order val="24"/>
          <c:tx>
            <c:v>h=12</c:v>
          </c:tx>
          <c:spPr>
            <a:ln w="3175">
              <a:solidFill>
                <a:srgbClr val="808080"/>
              </a:solidFill>
              <a:prstDash val="solid"/>
            </a:ln>
          </c:spPr>
          <c:marker>
            <c:symbol val="none"/>
          </c:marker>
          <c:xVal>
            <c:numLit>
              <c:formatCode>General</c:formatCode>
              <c:ptCount val="2"/>
              <c:pt idx="0">
                <c:v>-5.2842895997141595</c:v>
              </c:pt>
              <c:pt idx="1">
                <c:v>-4.9842895997141596</c:v>
              </c:pt>
            </c:numLit>
          </c:xVal>
          <c:yVal>
            <c:numLit>
              <c:formatCode>General</c:formatCode>
              <c:ptCount val="2"/>
              <c:pt idx="0">
                <c:v>6.6754029827727239E-3</c:v>
              </c:pt>
              <c:pt idx="1">
                <c:v>6.5595393319539518E-3</c:v>
              </c:pt>
            </c:numLit>
          </c:yVal>
          <c:smooth val="0"/>
          <c:extLst>
            <c:ext xmlns:c16="http://schemas.microsoft.com/office/drawing/2014/chart" uri="{C3380CC4-5D6E-409C-BE32-E72D297353CC}">
              <c16:uniqueId val="{0000001D-4137-4E27-8261-4217D1D72476}"/>
            </c:ext>
          </c:extLst>
        </c:ser>
        <c:ser>
          <c:idx val="25"/>
          <c:order val="25"/>
          <c:tx>
            <c:v>h=13</c:v>
          </c:tx>
          <c:spPr>
            <a:ln w="3175">
              <a:solidFill>
                <a:srgbClr val="808080"/>
              </a:solidFill>
              <a:prstDash val="solid"/>
            </a:ln>
          </c:spPr>
          <c:marker>
            <c:symbol val="none"/>
          </c:marker>
          <c:xVal>
            <c:numLit>
              <c:formatCode>General</c:formatCode>
              <c:ptCount val="2"/>
              <c:pt idx="0">
                <c:v>-4.9758808180128256</c:v>
              </c:pt>
              <c:pt idx="1">
                <c:v>-4.6758808180128257</c:v>
              </c:pt>
            </c:numLit>
          </c:xVal>
          <c:yVal>
            <c:numLit>
              <c:formatCode>General</c:formatCode>
              <c:ptCount val="2"/>
              <c:pt idx="0">
                <c:v>6.941301504595568E-3</c:v>
              </c:pt>
              <c:pt idx="1">
                <c:v>6.8254579210482186E-3</c:v>
              </c:pt>
            </c:numLit>
          </c:yVal>
          <c:smooth val="0"/>
          <c:extLst>
            <c:ext xmlns:c16="http://schemas.microsoft.com/office/drawing/2014/chart" uri="{C3380CC4-5D6E-409C-BE32-E72D297353CC}">
              <c16:uniqueId val="{0000001E-4137-4E27-8261-4217D1D72476}"/>
            </c:ext>
          </c:extLst>
        </c:ser>
        <c:ser>
          <c:idx val="26"/>
          <c:order val="26"/>
          <c:tx>
            <c:v>h=14</c:v>
          </c:tx>
          <c:spPr>
            <a:ln w="3175">
              <a:solidFill>
                <a:srgbClr val="808080"/>
              </a:solidFill>
              <a:prstDash val="solid"/>
            </a:ln>
          </c:spPr>
          <c:marker>
            <c:symbol val="none"/>
          </c:marker>
          <c:xVal>
            <c:numLit>
              <c:formatCode>General</c:formatCode>
              <c:ptCount val="2"/>
              <c:pt idx="0">
                <c:v>-4.6674720363114925</c:v>
              </c:pt>
              <c:pt idx="1">
                <c:v>-4.3674720363114918</c:v>
              </c:pt>
            </c:numLit>
          </c:xVal>
          <c:yVal>
            <c:numLit>
              <c:formatCode>General</c:formatCode>
              <c:ptCount val="2"/>
              <c:pt idx="0">
                <c:v>7.207200026418413E-3</c:v>
              </c:pt>
              <c:pt idx="1">
                <c:v>7.0913750232407067E-3</c:v>
              </c:pt>
            </c:numLit>
          </c:yVal>
          <c:smooth val="0"/>
          <c:extLst>
            <c:ext xmlns:c16="http://schemas.microsoft.com/office/drawing/2014/chart" uri="{C3380CC4-5D6E-409C-BE32-E72D297353CC}">
              <c16:uniqueId val="{0000001F-4137-4E27-8261-4217D1D72476}"/>
            </c:ext>
          </c:extLst>
        </c:ser>
        <c:ser>
          <c:idx val="27"/>
          <c:order val="27"/>
          <c:tx>
            <c:v>h=15</c:v>
          </c:tx>
          <c:spPr>
            <a:ln w="3175">
              <a:solidFill>
                <a:srgbClr val="808080"/>
              </a:solidFill>
              <a:prstDash val="solid"/>
            </a:ln>
          </c:spPr>
          <c:marker>
            <c:symbol val="none"/>
          </c:marker>
          <c:dLbls>
            <c:dLbl>
              <c:idx val="0"/>
              <c:layout>
                <c:manualLayout>
                  <c:x val="-3.0087489063867032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-4.3590632546101586</c:v>
              </c:pt>
              <c:pt idx="1">
                <c:v>15</c:v>
              </c:pt>
            </c:numLit>
          </c:xVal>
          <c:yVal>
            <c:numLit>
              <c:formatCode>General</c:formatCode>
              <c:ptCount val="2"/>
              <c:pt idx="0">
                <c:v>7.4730985482412571E-3</c:v>
              </c:pt>
              <c:pt idx="1">
                <c:v>0</c:v>
              </c:pt>
            </c:numLit>
          </c:yVal>
          <c:smooth val="0"/>
          <c:extLst>
            <c:ext xmlns:c16="http://schemas.microsoft.com/office/drawing/2014/chart" uri="{C3380CC4-5D6E-409C-BE32-E72D297353CC}">
              <c16:uniqueId val="{00000021-4137-4E27-8261-4217D1D72476}"/>
            </c:ext>
          </c:extLst>
        </c:ser>
        <c:ser>
          <c:idx val="28"/>
          <c:order val="28"/>
          <c:tx>
            <c:v>h=16</c:v>
          </c:tx>
          <c:spPr>
            <a:ln w="3175">
              <a:solidFill>
                <a:srgbClr val="808080"/>
              </a:solidFill>
              <a:prstDash val="solid"/>
            </a:ln>
          </c:spPr>
          <c:marker>
            <c:symbol val="none"/>
          </c:marker>
          <c:xVal>
            <c:numLit>
              <c:formatCode>General</c:formatCode>
              <c:ptCount val="2"/>
              <c:pt idx="0">
                <c:v>-4.0506544729088247</c:v>
              </c:pt>
              <c:pt idx="1">
                <c:v>-3.7506544729088249</c:v>
              </c:pt>
            </c:numLit>
          </c:xVal>
          <c:yVal>
            <c:numLit>
              <c:formatCode>General</c:formatCode>
              <c:ptCount val="2"/>
              <c:pt idx="0">
                <c:v>7.7389970700641013E-3</c:v>
              </c:pt>
              <c:pt idx="1">
                <c:v>7.6232053823585373E-3</c:v>
              </c:pt>
            </c:numLit>
          </c:yVal>
          <c:smooth val="0"/>
          <c:extLst>
            <c:ext xmlns:c16="http://schemas.microsoft.com/office/drawing/2014/chart" uri="{C3380CC4-5D6E-409C-BE32-E72D297353CC}">
              <c16:uniqueId val="{00000022-4137-4E27-8261-4217D1D72476}"/>
            </c:ext>
          </c:extLst>
        </c:ser>
        <c:ser>
          <c:idx val="29"/>
          <c:order val="29"/>
          <c:tx>
            <c:v>h=17</c:v>
          </c:tx>
          <c:spPr>
            <a:ln w="3175">
              <a:solidFill>
                <a:srgbClr val="808080"/>
              </a:solidFill>
              <a:prstDash val="solid"/>
            </a:ln>
          </c:spPr>
          <c:marker>
            <c:symbol val="none"/>
          </c:marker>
          <c:xVal>
            <c:numLit>
              <c:formatCode>General</c:formatCode>
              <c:ptCount val="2"/>
              <c:pt idx="0">
                <c:v>-3.7422456912074913</c:v>
              </c:pt>
              <c:pt idx="1">
                <c:v>-3.4422456912074915</c:v>
              </c:pt>
            </c:numLit>
          </c:xVal>
          <c:yVal>
            <c:numLit>
              <c:formatCode>General</c:formatCode>
              <c:ptCount val="2"/>
              <c:pt idx="0">
                <c:v>8.0048955918869454E-3</c:v>
              </c:pt>
              <c:pt idx="1">
                <c:v>7.8891188957028839E-3</c:v>
              </c:pt>
            </c:numLit>
          </c:yVal>
          <c:smooth val="0"/>
          <c:extLst>
            <c:ext xmlns:c16="http://schemas.microsoft.com/office/drawing/2014/chart" uri="{C3380CC4-5D6E-409C-BE32-E72D297353CC}">
              <c16:uniqueId val="{00000023-4137-4E27-8261-4217D1D72476}"/>
            </c:ext>
          </c:extLst>
        </c:ser>
        <c:ser>
          <c:idx val="30"/>
          <c:order val="30"/>
          <c:tx>
            <c:v>h=18</c:v>
          </c:tx>
          <c:spPr>
            <a:ln w="3175">
              <a:solidFill>
                <a:srgbClr val="808080"/>
              </a:solidFill>
              <a:prstDash val="solid"/>
            </a:ln>
          </c:spPr>
          <c:marker>
            <c:symbol val="none"/>
          </c:marker>
          <c:xVal>
            <c:numLit>
              <c:formatCode>General</c:formatCode>
              <c:ptCount val="2"/>
              <c:pt idx="0">
                <c:v>-3.4338369095061578</c:v>
              </c:pt>
              <c:pt idx="1">
                <c:v>-3.1338369095061576</c:v>
              </c:pt>
            </c:numLit>
          </c:xVal>
          <c:yVal>
            <c:numLit>
              <c:formatCode>General</c:formatCode>
              <c:ptCount val="2"/>
              <c:pt idx="0">
                <c:v>8.2707941137097896E-3</c:v>
              </c:pt>
              <c:pt idx="1">
                <c:v>8.1550314416045221E-3</c:v>
              </c:pt>
            </c:numLit>
          </c:yVal>
          <c:smooth val="0"/>
          <c:extLst>
            <c:ext xmlns:c16="http://schemas.microsoft.com/office/drawing/2014/chart" uri="{C3380CC4-5D6E-409C-BE32-E72D297353CC}">
              <c16:uniqueId val="{00000024-4137-4E27-8261-4217D1D72476}"/>
            </c:ext>
          </c:extLst>
        </c:ser>
        <c:ser>
          <c:idx val="31"/>
          <c:order val="31"/>
          <c:tx>
            <c:v>h=19</c:v>
          </c:tx>
          <c:spPr>
            <a:ln w="3175">
              <a:solidFill>
                <a:srgbClr val="808080"/>
              </a:solidFill>
              <a:prstDash val="solid"/>
            </a:ln>
          </c:spPr>
          <c:marker>
            <c:symbol val="none"/>
          </c:marker>
          <c:xVal>
            <c:numLit>
              <c:formatCode>General</c:formatCode>
              <c:ptCount val="2"/>
              <c:pt idx="0">
                <c:v>-3.1254281278048244</c:v>
              </c:pt>
              <c:pt idx="1">
                <c:v>-2.8254281278048241</c:v>
              </c:pt>
            </c:numLit>
          </c:xVal>
          <c:yVal>
            <c:numLit>
              <c:formatCode>General</c:formatCode>
              <c:ptCount val="2"/>
              <c:pt idx="0">
                <c:v>8.5366926355326354E-3</c:v>
              </c:pt>
              <c:pt idx="1">
                <c:v>8.4209431107837157E-3</c:v>
              </c:pt>
            </c:numLit>
          </c:yVal>
          <c:smooth val="0"/>
          <c:extLst>
            <c:ext xmlns:c16="http://schemas.microsoft.com/office/drawing/2014/chart" uri="{C3380CC4-5D6E-409C-BE32-E72D297353CC}">
              <c16:uniqueId val="{00000025-4137-4E27-8261-4217D1D72476}"/>
            </c:ext>
          </c:extLst>
        </c:ser>
        <c:ser>
          <c:idx val="32"/>
          <c:order val="32"/>
          <c:tx>
            <c:v>h=20</c:v>
          </c:tx>
          <c:spPr>
            <a:ln w="3175">
              <a:solidFill>
                <a:srgbClr val="808080"/>
              </a:solidFill>
              <a:prstDash val="solid"/>
            </a:ln>
          </c:spPr>
          <c:marker>
            <c:symbol val="none"/>
          </c:marker>
          <c:dLbls>
            <c:dLbl>
              <c:idx val="0"/>
              <c:layout>
                <c:manualLayout>
                  <c:x val="-3.0087489063867018E-2"/>
                  <c:y val="-9.347701729591650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-2.8170193461034905</c:v>
              </c:pt>
              <c:pt idx="1">
                <c:v>20</c:v>
              </c:pt>
            </c:numLit>
          </c:xVal>
          <c:yVal>
            <c:numLit>
              <c:formatCode>General</c:formatCode>
              <c:ptCount val="2"/>
              <c:pt idx="0">
                <c:v>8.8025911573554796E-3</c:v>
              </c:pt>
              <c:pt idx="1">
                <c:v>0</c:v>
              </c:pt>
            </c:numLit>
          </c:yVal>
          <c:smooth val="0"/>
          <c:extLst>
            <c:ext xmlns:c16="http://schemas.microsoft.com/office/drawing/2014/chart" uri="{C3380CC4-5D6E-409C-BE32-E72D297353CC}">
              <c16:uniqueId val="{00000027-4137-4E27-8261-4217D1D72476}"/>
            </c:ext>
          </c:extLst>
        </c:ser>
        <c:ser>
          <c:idx val="33"/>
          <c:order val="33"/>
          <c:tx>
            <c:v>h=21</c:v>
          </c:tx>
          <c:spPr>
            <a:ln w="3175">
              <a:solidFill>
                <a:srgbClr val="808080"/>
              </a:solidFill>
              <a:prstDash val="solid"/>
            </a:ln>
          </c:spPr>
          <c:marker>
            <c:symbol val="none"/>
          </c:marker>
          <c:xVal>
            <c:numLit>
              <c:formatCode>General</c:formatCode>
              <c:ptCount val="2"/>
              <c:pt idx="0">
                <c:v>-2.508610564402157</c:v>
              </c:pt>
              <c:pt idx="1">
                <c:v>-2.2086105644021572</c:v>
              </c:pt>
            </c:numLit>
          </c:xVal>
          <c:yVal>
            <c:numLit>
              <c:formatCode>General</c:formatCode>
              <c:ptCount val="2"/>
              <c:pt idx="0">
                <c:v>9.0684896791783237E-3</c:v>
              </c:pt>
              <c:pt idx="1">
                <c:v>8.952764128478485E-3</c:v>
              </c:pt>
            </c:numLit>
          </c:yVal>
          <c:smooth val="0"/>
          <c:extLst>
            <c:ext xmlns:c16="http://schemas.microsoft.com/office/drawing/2014/chart" uri="{C3380CC4-5D6E-409C-BE32-E72D297353CC}">
              <c16:uniqueId val="{00000028-4137-4E27-8261-4217D1D72476}"/>
            </c:ext>
          </c:extLst>
        </c:ser>
        <c:ser>
          <c:idx val="34"/>
          <c:order val="34"/>
          <c:tx>
            <c:v>h=22</c:v>
          </c:tx>
          <c:spPr>
            <a:ln w="3175">
              <a:solidFill>
                <a:srgbClr val="808080"/>
              </a:solidFill>
              <a:prstDash val="solid"/>
            </a:ln>
          </c:spPr>
          <c:marker>
            <c:symbol val="none"/>
          </c:marker>
          <c:xVal>
            <c:numLit>
              <c:formatCode>General</c:formatCode>
              <c:ptCount val="2"/>
              <c:pt idx="0">
                <c:v>-2.2002017827008236</c:v>
              </c:pt>
              <c:pt idx="1">
                <c:v>-1.9002017827008235</c:v>
              </c:pt>
            </c:numLit>
          </c:xVal>
          <c:yVal>
            <c:numLit>
              <c:formatCode>General</c:formatCode>
              <c:ptCount val="2"/>
              <c:pt idx="0">
                <c:v>9.3343882010011679E-3</c:v>
              </c:pt>
              <c:pt idx="1">
                <c:v>9.2186736096335001E-3</c:v>
              </c:pt>
            </c:numLit>
          </c:yVal>
          <c:smooth val="0"/>
          <c:extLst>
            <c:ext xmlns:c16="http://schemas.microsoft.com/office/drawing/2014/chart" uri="{C3380CC4-5D6E-409C-BE32-E72D297353CC}">
              <c16:uniqueId val="{00000029-4137-4E27-8261-4217D1D72476}"/>
            </c:ext>
          </c:extLst>
        </c:ser>
        <c:ser>
          <c:idx val="35"/>
          <c:order val="35"/>
          <c:tx>
            <c:v>h=23</c:v>
          </c:tx>
          <c:spPr>
            <a:ln w="3175">
              <a:solidFill>
                <a:srgbClr val="808080"/>
              </a:solidFill>
              <a:prstDash val="solid"/>
            </a:ln>
          </c:spPr>
          <c:marker>
            <c:symbol val="none"/>
          </c:marker>
          <c:xVal>
            <c:numLit>
              <c:formatCode>General</c:formatCode>
              <c:ptCount val="2"/>
              <c:pt idx="0">
                <c:v>-1.8917930009994899</c:v>
              </c:pt>
              <c:pt idx="1">
                <c:v>-1.5917930009994898</c:v>
              </c:pt>
            </c:numLit>
          </c:xVal>
          <c:yVal>
            <c:numLit>
              <c:formatCode>General</c:formatCode>
              <c:ptCount val="2"/>
              <c:pt idx="0">
                <c:v>9.600286722824012E-3</c:v>
              </c:pt>
              <c:pt idx="1">
                <c:v>9.484582481802421E-3</c:v>
              </c:pt>
            </c:numLit>
          </c:yVal>
          <c:smooth val="0"/>
          <c:extLst>
            <c:ext xmlns:c16="http://schemas.microsoft.com/office/drawing/2014/chart" uri="{C3380CC4-5D6E-409C-BE32-E72D297353CC}">
              <c16:uniqueId val="{0000002A-4137-4E27-8261-4217D1D72476}"/>
            </c:ext>
          </c:extLst>
        </c:ser>
        <c:ser>
          <c:idx val="36"/>
          <c:order val="36"/>
          <c:tx>
            <c:v>h=24</c:v>
          </c:tx>
          <c:spPr>
            <a:ln w="3175">
              <a:solidFill>
                <a:srgbClr val="808080"/>
              </a:solidFill>
              <a:prstDash val="solid"/>
            </a:ln>
          </c:spPr>
          <c:marker>
            <c:symbol val="none"/>
          </c:marker>
          <c:xVal>
            <c:numLit>
              <c:formatCode>General</c:formatCode>
              <c:ptCount val="2"/>
              <c:pt idx="0">
                <c:v>-1.5833842192981562</c:v>
              </c:pt>
              <c:pt idx="1">
                <c:v>-1.2833842192981562</c:v>
              </c:pt>
            </c:numLit>
          </c:xVal>
          <c:yVal>
            <c:numLit>
              <c:formatCode>General</c:formatCode>
              <c:ptCount val="2"/>
              <c:pt idx="0">
                <c:v>9.8661852446468561E-3</c:v>
              </c:pt>
              <c:pt idx="1">
                <c:v>9.7504907943730974E-3</c:v>
              </c:pt>
            </c:numLit>
          </c:yVal>
          <c:smooth val="0"/>
          <c:extLst>
            <c:ext xmlns:c16="http://schemas.microsoft.com/office/drawing/2014/chart" uri="{C3380CC4-5D6E-409C-BE32-E72D297353CC}">
              <c16:uniqueId val="{0000002B-4137-4E27-8261-4217D1D72476}"/>
            </c:ext>
          </c:extLst>
        </c:ser>
        <c:ser>
          <c:idx val="37"/>
          <c:order val="37"/>
          <c:tx>
            <c:v>h=25</c:v>
          </c:tx>
          <c:spPr>
            <a:ln w="3175">
              <a:solidFill>
                <a:srgbClr val="808080"/>
              </a:solidFill>
              <a:prstDash val="solid"/>
            </a:ln>
          </c:spPr>
          <c:marker>
            <c:symbol val="none"/>
          </c:marker>
          <c:dLbls>
            <c:dLbl>
              <c:idx val="0"/>
              <c:layout>
                <c:manualLayout>
                  <c:x val="-3.0087489063867018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25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-1.2749754375968227</c:v>
              </c:pt>
              <c:pt idx="1">
                <c:v>25</c:v>
              </c:pt>
            </c:numLit>
          </c:xVal>
          <c:yVal>
            <c:numLit>
              <c:formatCode>General</c:formatCode>
              <c:ptCount val="2"/>
              <c:pt idx="0">
                <c:v>1.0132083766469702E-2</c:v>
              </c:pt>
              <c:pt idx="1">
                <c:v>0</c:v>
              </c:pt>
            </c:numLit>
          </c:yVal>
          <c:smooth val="0"/>
          <c:extLst>
            <c:ext xmlns:c16="http://schemas.microsoft.com/office/drawing/2014/chart" uri="{C3380CC4-5D6E-409C-BE32-E72D297353CC}">
              <c16:uniqueId val="{0000002D-4137-4E27-8261-4217D1D72476}"/>
            </c:ext>
          </c:extLst>
        </c:ser>
        <c:ser>
          <c:idx val="38"/>
          <c:order val="38"/>
          <c:tx>
            <c:v>h=26</c:v>
          </c:tx>
          <c:spPr>
            <a:ln w="3175">
              <a:solidFill>
                <a:srgbClr val="808080"/>
              </a:solidFill>
              <a:prstDash val="solid"/>
            </a:ln>
          </c:spPr>
          <c:marker>
            <c:symbol val="none"/>
          </c:marker>
          <c:xVal>
            <c:numLit>
              <c:formatCode>General</c:formatCode>
              <c:ptCount val="2"/>
              <c:pt idx="0">
                <c:v>-0.96656665589548907</c:v>
              </c:pt>
              <c:pt idx="1">
                <c:v>-0.66656665589548902</c:v>
              </c:pt>
            </c:numLit>
          </c:xVal>
          <c:yVal>
            <c:numLit>
              <c:formatCode>General</c:formatCode>
              <c:ptCount val="2"/>
              <c:pt idx="0">
                <c:v>1.0397982288292546E-2</c:v>
              </c:pt>
              <c:pt idx="1">
                <c:v>1.0282305912938853E-2</c:v>
              </c:pt>
            </c:numLit>
          </c:yVal>
          <c:smooth val="0"/>
          <c:extLst>
            <c:ext xmlns:c16="http://schemas.microsoft.com/office/drawing/2014/chart" uri="{C3380CC4-5D6E-409C-BE32-E72D297353CC}">
              <c16:uniqueId val="{0000002E-4137-4E27-8261-4217D1D72476}"/>
            </c:ext>
          </c:extLst>
        </c:ser>
        <c:ser>
          <c:idx val="39"/>
          <c:order val="39"/>
          <c:tx>
            <c:v>h=27</c:v>
          </c:tx>
          <c:spPr>
            <a:ln w="3175">
              <a:solidFill>
                <a:srgbClr val="808080"/>
              </a:solidFill>
              <a:prstDash val="solid"/>
            </a:ln>
          </c:spPr>
          <c:marker>
            <c:symbol val="none"/>
          </c:marker>
          <c:xVal>
            <c:numLit>
              <c:formatCode>General</c:formatCode>
              <c:ptCount val="2"/>
              <c:pt idx="0">
                <c:v>-0.6581578741941555</c:v>
              </c:pt>
              <c:pt idx="1">
                <c:v>-0.35815787419415551</c:v>
              </c:pt>
            </c:numLit>
          </c:xVal>
          <c:yVal>
            <c:numLit>
              <c:formatCode>General</c:formatCode>
              <c:ptCount val="2"/>
              <c:pt idx="0">
                <c:v>1.066388081011539E-2</c:v>
              </c:pt>
              <c:pt idx="1">
                <c:v>1.0548212794277664E-2</c:v>
              </c:pt>
            </c:numLit>
          </c:yVal>
          <c:smooth val="0"/>
          <c:extLst>
            <c:ext xmlns:c16="http://schemas.microsoft.com/office/drawing/2014/chart" uri="{C3380CC4-5D6E-409C-BE32-E72D297353CC}">
              <c16:uniqueId val="{0000002F-4137-4E27-8261-4217D1D72476}"/>
            </c:ext>
          </c:extLst>
        </c:ser>
        <c:ser>
          <c:idx val="40"/>
          <c:order val="40"/>
          <c:tx>
            <c:v>h=28</c:v>
          </c:tx>
          <c:spPr>
            <a:ln w="3175">
              <a:solidFill>
                <a:srgbClr val="808080"/>
              </a:solidFill>
              <a:prstDash val="solid"/>
            </a:ln>
          </c:spPr>
          <c:marker>
            <c:symbol val="none"/>
          </c:marker>
          <c:xVal>
            <c:numLit>
              <c:formatCode>General</c:formatCode>
              <c:ptCount val="2"/>
              <c:pt idx="0">
                <c:v>-0.34974909249282188</c:v>
              </c:pt>
              <c:pt idx="1">
                <c:v>-4.9749092492821903E-2</c:v>
              </c:pt>
            </c:numLit>
          </c:xVal>
          <c:yVal>
            <c:numLit>
              <c:formatCode>General</c:formatCode>
              <c:ptCount val="2"/>
              <c:pt idx="0">
                <c:v>1.0929779331938234E-2</c:v>
              </c:pt>
              <c:pt idx="1">
                <c:v>1.0814119267756229E-2</c:v>
              </c:pt>
            </c:numLit>
          </c:yVal>
          <c:smooth val="0"/>
          <c:extLst>
            <c:ext xmlns:c16="http://schemas.microsoft.com/office/drawing/2014/chart" uri="{C3380CC4-5D6E-409C-BE32-E72D297353CC}">
              <c16:uniqueId val="{00000030-4137-4E27-8261-4217D1D72476}"/>
            </c:ext>
          </c:extLst>
        </c:ser>
        <c:ser>
          <c:idx val="41"/>
          <c:order val="41"/>
          <c:tx>
            <c:v>h=29</c:v>
          </c:tx>
          <c:spPr>
            <a:ln w="3175">
              <a:solidFill>
                <a:srgbClr val="808080"/>
              </a:solidFill>
              <a:prstDash val="solid"/>
            </a:ln>
          </c:spPr>
          <c:marker>
            <c:symbol val="none"/>
          </c:marker>
          <c:xVal>
            <c:numLit>
              <c:formatCode>General</c:formatCode>
              <c:ptCount val="2"/>
              <c:pt idx="0">
                <c:v>-4.1340310791488304E-2</c:v>
              </c:pt>
              <c:pt idx="1">
                <c:v>0.25865968920851168</c:v>
              </c:pt>
            </c:numLit>
          </c:xVal>
          <c:yVal>
            <c:numLit>
              <c:formatCode>General</c:formatCode>
              <c:ptCount val="2"/>
              <c:pt idx="0">
                <c:v>1.1195677853761079E-2</c:v>
              </c:pt>
              <c:pt idx="1">
                <c:v>1.108002536251293E-2</c:v>
              </c:pt>
            </c:numLit>
          </c:yVal>
          <c:smooth val="0"/>
          <c:extLst>
            <c:ext xmlns:c16="http://schemas.microsoft.com/office/drawing/2014/chart" uri="{C3380CC4-5D6E-409C-BE32-E72D297353CC}">
              <c16:uniqueId val="{00000031-4137-4E27-8261-4217D1D72476}"/>
            </c:ext>
          </c:extLst>
        </c:ser>
        <c:ser>
          <c:idx val="42"/>
          <c:order val="42"/>
          <c:tx>
            <c:v>h=30</c:v>
          </c:tx>
          <c:spPr>
            <a:ln w="3175">
              <a:solidFill>
                <a:srgbClr val="808080"/>
              </a:solidFill>
              <a:prstDash val="solid"/>
            </a:ln>
          </c:spPr>
          <c:marker>
            <c:symbol val="none"/>
          </c:marker>
          <c:dLbls>
            <c:dLbl>
              <c:idx val="0"/>
              <c:layout>
                <c:manualLayout>
                  <c:x val="-3.0087489063867018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0.26706847090984531</c:v>
              </c:pt>
              <c:pt idx="1">
                <c:v>30</c:v>
              </c:pt>
            </c:numLit>
          </c:xVal>
          <c:yVal>
            <c:numLit>
              <c:formatCode>General</c:formatCode>
              <c:ptCount val="2"/>
              <c:pt idx="0">
                <c:v>1.1461576375583923E-2</c:v>
              </c:pt>
              <c:pt idx="1">
                <c:v>0</c:v>
              </c:pt>
            </c:numLit>
          </c:yVal>
          <c:smooth val="0"/>
          <c:extLst>
            <c:ext xmlns:c16="http://schemas.microsoft.com/office/drawing/2014/chart" uri="{C3380CC4-5D6E-409C-BE32-E72D297353CC}">
              <c16:uniqueId val="{00000033-4137-4E27-8261-4217D1D72476}"/>
            </c:ext>
          </c:extLst>
        </c:ser>
        <c:ser>
          <c:idx val="43"/>
          <c:order val="43"/>
          <c:tx>
            <c:v>h=31</c:v>
          </c:tx>
          <c:spPr>
            <a:ln w="3175">
              <a:solidFill>
                <a:srgbClr val="808080"/>
              </a:solidFill>
              <a:prstDash val="solid"/>
            </a:ln>
          </c:spPr>
          <c:marker>
            <c:symbol val="none"/>
          </c:marker>
          <c:xVal>
            <c:numLit>
              <c:formatCode>General</c:formatCode>
              <c:ptCount val="2"/>
              <c:pt idx="0">
                <c:v>0.57547725261117888</c:v>
              </c:pt>
              <c:pt idx="1">
                <c:v>0.87547725261117881</c:v>
              </c:pt>
            </c:numLit>
          </c:xVal>
          <c:yVal>
            <c:numLit>
              <c:formatCode>General</c:formatCode>
              <c:ptCount val="2"/>
              <c:pt idx="0">
                <c:v>1.1727474897406769E-2</c:v>
              </c:pt>
              <c:pt idx="1">
                <c:v>1.1611836519167163E-2</c:v>
              </c:pt>
            </c:numLit>
          </c:yVal>
          <c:smooth val="0"/>
          <c:extLst>
            <c:ext xmlns:c16="http://schemas.microsoft.com/office/drawing/2014/chart" uri="{C3380CC4-5D6E-409C-BE32-E72D297353CC}">
              <c16:uniqueId val="{00000034-4137-4E27-8261-4217D1D72476}"/>
            </c:ext>
          </c:extLst>
        </c:ser>
        <c:ser>
          <c:idx val="44"/>
          <c:order val="44"/>
          <c:tx>
            <c:v>h=32</c:v>
          </c:tx>
          <c:spPr>
            <a:ln w="3175">
              <a:solidFill>
                <a:srgbClr val="808080"/>
              </a:solidFill>
              <a:prstDash val="solid"/>
            </a:ln>
          </c:spPr>
          <c:marker>
            <c:symbol val="none"/>
          </c:marker>
          <c:xVal>
            <c:numLit>
              <c:formatCode>General</c:formatCode>
              <c:ptCount val="2"/>
              <c:pt idx="0">
                <c:v>0.88388603431251245</c:v>
              </c:pt>
              <c:pt idx="1">
                <c:v>1.1838860343125124</c:v>
              </c:pt>
            </c:numLit>
          </c:xVal>
          <c:yVal>
            <c:numLit>
              <c:formatCode>General</c:formatCode>
              <c:ptCount val="2"/>
              <c:pt idx="0">
                <c:v>1.1993373419229613E-2</c:v>
              </c:pt>
              <c:pt idx="1">
                <c:v>1.1877741626977646E-2</c:v>
              </c:pt>
            </c:numLit>
          </c:yVal>
          <c:smooth val="0"/>
          <c:extLst>
            <c:ext xmlns:c16="http://schemas.microsoft.com/office/drawing/2014/chart" uri="{C3380CC4-5D6E-409C-BE32-E72D297353CC}">
              <c16:uniqueId val="{00000035-4137-4E27-8261-4217D1D72476}"/>
            </c:ext>
          </c:extLst>
        </c:ser>
        <c:ser>
          <c:idx val="45"/>
          <c:order val="45"/>
          <c:tx>
            <c:v>h=33</c:v>
          </c:tx>
          <c:spPr>
            <a:ln w="3175">
              <a:solidFill>
                <a:srgbClr val="808080"/>
              </a:solidFill>
              <a:prstDash val="solid"/>
            </a:ln>
          </c:spPr>
          <c:marker>
            <c:symbol val="none"/>
          </c:marker>
          <c:xVal>
            <c:numLit>
              <c:formatCode>General</c:formatCode>
              <c:ptCount val="2"/>
              <c:pt idx="0">
                <c:v>1.192294816013846</c:v>
              </c:pt>
              <c:pt idx="1">
                <c:v>1.4922948160138461</c:v>
              </c:pt>
            </c:numLit>
          </c:xVal>
          <c:yVal>
            <c:numLit>
              <c:formatCode>General</c:formatCode>
              <c:ptCount val="2"/>
              <c:pt idx="0">
                <c:v>1.2259271941052457E-2</c:v>
              </c:pt>
              <c:pt idx="1">
                <c:v>1.214364644839141E-2</c:v>
              </c:pt>
            </c:numLit>
          </c:yVal>
          <c:smooth val="0"/>
          <c:extLst>
            <c:ext xmlns:c16="http://schemas.microsoft.com/office/drawing/2014/chart" uri="{C3380CC4-5D6E-409C-BE32-E72D297353CC}">
              <c16:uniqueId val="{00000036-4137-4E27-8261-4217D1D72476}"/>
            </c:ext>
          </c:extLst>
        </c:ser>
        <c:ser>
          <c:idx val="46"/>
          <c:order val="46"/>
          <c:tx>
            <c:v>h=34</c:v>
          </c:tx>
          <c:spPr>
            <a:ln w="3175">
              <a:solidFill>
                <a:srgbClr val="808080"/>
              </a:solidFill>
              <a:prstDash val="solid"/>
            </a:ln>
          </c:spPr>
          <c:marker>
            <c:symbol val="none"/>
          </c:marker>
          <c:xVal>
            <c:numLit>
              <c:formatCode>General</c:formatCode>
              <c:ptCount val="2"/>
              <c:pt idx="0">
                <c:v>1.5007035977151797</c:v>
              </c:pt>
              <c:pt idx="1">
                <c:v>1.8007035977151795</c:v>
              </c:pt>
            </c:numLit>
          </c:xVal>
          <c:yVal>
            <c:numLit>
              <c:formatCode>General</c:formatCode>
              <c:ptCount val="2"/>
              <c:pt idx="0">
                <c:v>1.2525170462875301E-2</c:v>
              </c:pt>
              <c:pt idx="1">
                <c:v>1.2409551001692184E-2</c:v>
              </c:pt>
            </c:numLit>
          </c:yVal>
          <c:smooth val="0"/>
          <c:extLst>
            <c:ext xmlns:c16="http://schemas.microsoft.com/office/drawing/2014/chart" uri="{C3380CC4-5D6E-409C-BE32-E72D297353CC}">
              <c16:uniqueId val="{00000037-4137-4E27-8261-4217D1D72476}"/>
            </c:ext>
          </c:extLst>
        </c:ser>
        <c:ser>
          <c:idx val="47"/>
          <c:order val="47"/>
          <c:tx>
            <c:v>h=35</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35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1.8091123794165131</c:v>
              </c:pt>
              <c:pt idx="1">
                <c:v>35</c:v>
              </c:pt>
            </c:numLit>
          </c:xVal>
          <c:yVal>
            <c:numLit>
              <c:formatCode>General</c:formatCode>
              <c:ptCount val="2"/>
              <c:pt idx="0">
                <c:v>1.2791068984698145E-2</c:v>
              </c:pt>
              <c:pt idx="1">
                <c:v>0</c:v>
              </c:pt>
            </c:numLit>
          </c:yVal>
          <c:smooth val="0"/>
          <c:extLst>
            <c:ext xmlns:c16="http://schemas.microsoft.com/office/drawing/2014/chart" uri="{C3380CC4-5D6E-409C-BE32-E72D297353CC}">
              <c16:uniqueId val="{00000039-4137-4E27-8261-4217D1D72476}"/>
            </c:ext>
          </c:extLst>
        </c:ser>
        <c:ser>
          <c:idx val="48"/>
          <c:order val="48"/>
          <c:tx>
            <c:v>h=36</c:v>
          </c:tx>
          <c:spPr>
            <a:ln w="3175">
              <a:solidFill>
                <a:srgbClr val="808080"/>
              </a:solidFill>
              <a:prstDash val="solid"/>
            </a:ln>
          </c:spPr>
          <c:marker>
            <c:symbol val="none"/>
          </c:marker>
          <c:xVal>
            <c:numLit>
              <c:formatCode>General</c:formatCode>
              <c:ptCount val="2"/>
              <c:pt idx="0">
                <c:v>2.1175211611178466</c:v>
              </c:pt>
              <c:pt idx="1">
                <c:v>2.4175211611178469</c:v>
              </c:pt>
            </c:numLit>
          </c:xVal>
          <c:yVal>
            <c:numLit>
              <c:formatCode>General</c:formatCode>
              <c:ptCount val="2"/>
              <c:pt idx="0">
                <c:v>1.3056967506520989E-2</c:v>
              </c:pt>
              <c:pt idx="1">
                <c:v>1.2941359369625727E-2</c:v>
              </c:pt>
            </c:numLit>
          </c:yVal>
          <c:smooth val="0"/>
          <c:extLst>
            <c:ext xmlns:c16="http://schemas.microsoft.com/office/drawing/2014/chart" uri="{C3380CC4-5D6E-409C-BE32-E72D297353CC}">
              <c16:uniqueId val="{0000003A-4137-4E27-8261-4217D1D72476}"/>
            </c:ext>
          </c:extLst>
        </c:ser>
        <c:ser>
          <c:idx val="49"/>
          <c:order val="49"/>
          <c:tx>
            <c:v>h=37</c:v>
          </c:tx>
          <c:spPr>
            <a:ln w="3175">
              <a:solidFill>
                <a:srgbClr val="808080"/>
              </a:solidFill>
              <a:prstDash val="solid"/>
            </a:ln>
          </c:spPr>
          <c:marker>
            <c:symbol val="none"/>
          </c:marker>
          <c:xVal>
            <c:numLit>
              <c:formatCode>General</c:formatCode>
              <c:ptCount val="2"/>
              <c:pt idx="0">
                <c:v>2.4259299428191805</c:v>
              </c:pt>
              <c:pt idx="1">
                <c:v>2.7259299428191803</c:v>
              </c:pt>
            </c:numLit>
          </c:xVal>
          <c:yVal>
            <c:numLit>
              <c:formatCode>General</c:formatCode>
              <c:ptCount val="2"/>
              <c:pt idx="0">
                <c:v>1.3322866028343833E-2</c:v>
              </c:pt>
              <c:pt idx="1">
                <c:v>1.3207263213809909E-2</c:v>
              </c:pt>
            </c:numLit>
          </c:yVal>
          <c:smooth val="0"/>
          <c:extLst>
            <c:ext xmlns:c16="http://schemas.microsoft.com/office/drawing/2014/chart" uri="{C3380CC4-5D6E-409C-BE32-E72D297353CC}">
              <c16:uniqueId val="{0000003B-4137-4E27-8261-4217D1D72476}"/>
            </c:ext>
          </c:extLst>
        </c:ser>
        <c:ser>
          <c:idx val="50"/>
          <c:order val="50"/>
          <c:tx>
            <c:v>h=38</c:v>
          </c:tx>
          <c:spPr>
            <a:ln w="3175">
              <a:solidFill>
                <a:srgbClr val="808080"/>
              </a:solidFill>
              <a:prstDash val="solid"/>
            </a:ln>
          </c:spPr>
          <c:marker>
            <c:symbol val="none"/>
          </c:marker>
          <c:xVal>
            <c:numLit>
              <c:formatCode>General</c:formatCode>
              <c:ptCount val="2"/>
              <c:pt idx="0">
                <c:v>2.734338724520514</c:v>
              </c:pt>
              <c:pt idx="1">
                <c:v>3.0343387245205138</c:v>
              </c:pt>
            </c:numLit>
          </c:xVal>
          <c:yVal>
            <c:numLit>
              <c:formatCode>General</c:formatCode>
              <c:ptCount val="2"/>
              <c:pt idx="0">
                <c:v>1.3588764550166679E-2</c:v>
              </c:pt>
              <c:pt idx="1">
                <c:v>1.3473166849241543E-2</c:v>
              </c:pt>
            </c:numLit>
          </c:yVal>
          <c:smooth val="0"/>
          <c:extLst>
            <c:ext xmlns:c16="http://schemas.microsoft.com/office/drawing/2014/chart" uri="{C3380CC4-5D6E-409C-BE32-E72D297353CC}">
              <c16:uniqueId val="{0000003C-4137-4E27-8261-4217D1D72476}"/>
            </c:ext>
          </c:extLst>
        </c:ser>
        <c:ser>
          <c:idx val="51"/>
          <c:order val="51"/>
          <c:tx>
            <c:v>h=39</c:v>
          </c:tx>
          <c:spPr>
            <a:ln w="3175">
              <a:solidFill>
                <a:srgbClr val="808080"/>
              </a:solidFill>
              <a:prstDash val="solid"/>
            </a:ln>
          </c:spPr>
          <c:marker>
            <c:symbol val="none"/>
          </c:marker>
          <c:xVal>
            <c:numLit>
              <c:formatCode>General</c:formatCode>
              <c:ptCount val="2"/>
              <c:pt idx="0">
                <c:v>3.0427475062218474</c:v>
              </c:pt>
              <c:pt idx="1">
                <c:v>3.3427475062218477</c:v>
              </c:pt>
            </c:numLit>
          </c:xVal>
          <c:yVal>
            <c:numLit>
              <c:formatCode>General</c:formatCode>
              <c:ptCount val="2"/>
              <c:pt idx="0">
                <c:v>1.3854663071989523E-2</c:v>
              </c:pt>
              <c:pt idx="1">
                <c:v>1.3739070287965881E-2</c:v>
              </c:pt>
            </c:numLit>
          </c:yVal>
          <c:smooth val="0"/>
          <c:extLst>
            <c:ext xmlns:c16="http://schemas.microsoft.com/office/drawing/2014/chart" uri="{C3380CC4-5D6E-409C-BE32-E72D297353CC}">
              <c16:uniqueId val="{0000003D-4137-4E27-8261-4217D1D72476}"/>
            </c:ext>
          </c:extLst>
        </c:ser>
        <c:ser>
          <c:idx val="52"/>
          <c:order val="52"/>
          <c:tx>
            <c:v>h=40</c:v>
          </c:tx>
          <c:spPr>
            <a:ln w="3175">
              <a:solidFill>
                <a:srgbClr val="808080"/>
              </a:solidFill>
              <a:prstDash val="solid"/>
            </a:ln>
          </c:spPr>
          <c:marker>
            <c:symbol val="none"/>
          </c:marker>
          <c:dLbls>
            <c:dLbl>
              <c:idx val="0"/>
              <c:layout>
                <c:manualLayout>
                  <c:x val="-3.0087489063867049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40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3.3511562879231813</c:v>
              </c:pt>
              <c:pt idx="1">
                <c:v>40</c:v>
              </c:pt>
            </c:numLit>
          </c:xVal>
          <c:yVal>
            <c:numLit>
              <c:formatCode>General</c:formatCode>
              <c:ptCount val="2"/>
              <c:pt idx="0">
                <c:v>1.4120561593812368E-2</c:v>
              </c:pt>
              <c:pt idx="1">
                <c:v>0</c:v>
              </c:pt>
            </c:numLit>
          </c:yVal>
          <c:smooth val="0"/>
          <c:extLst>
            <c:ext xmlns:c16="http://schemas.microsoft.com/office/drawing/2014/chart" uri="{C3380CC4-5D6E-409C-BE32-E72D297353CC}">
              <c16:uniqueId val="{0000003F-4137-4E27-8261-4217D1D72476}"/>
            </c:ext>
          </c:extLst>
        </c:ser>
        <c:ser>
          <c:idx val="53"/>
          <c:order val="53"/>
          <c:tx>
            <c:v>h=41</c:v>
          </c:tx>
          <c:spPr>
            <a:ln w="3175">
              <a:solidFill>
                <a:srgbClr val="808080"/>
              </a:solidFill>
              <a:prstDash val="solid"/>
            </a:ln>
          </c:spPr>
          <c:marker>
            <c:symbol val="none"/>
          </c:marker>
          <c:xVal>
            <c:numLit>
              <c:formatCode>General</c:formatCode>
              <c:ptCount val="2"/>
              <c:pt idx="0">
                <c:v>3.6595650696245148</c:v>
              </c:pt>
              <c:pt idx="1">
                <c:v>3.9595650696245146</c:v>
              </c:pt>
            </c:numLit>
          </c:xVal>
          <c:yVal>
            <c:numLit>
              <c:formatCode>General</c:formatCode>
              <c:ptCount val="2"/>
              <c:pt idx="0">
                <c:v>1.4386460115635212E-2</c:v>
              </c:pt>
              <c:pt idx="1">
                <c:v>1.4270876619011833E-2</c:v>
              </c:pt>
            </c:numLit>
          </c:yVal>
          <c:smooth val="0"/>
          <c:extLst>
            <c:ext xmlns:c16="http://schemas.microsoft.com/office/drawing/2014/chart" uri="{C3380CC4-5D6E-409C-BE32-E72D297353CC}">
              <c16:uniqueId val="{00000040-4137-4E27-8261-4217D1D72476}"/>
            </c:ext>
          </c:extLst>
        </c:ser>
        <c:ser>
          <c:idx val="54"/>
          <c:order val="54"/>
          <c:tx>
            <c:v>h=42</c:v>
          </c:tx>
          <c:spPr>
            <a:ln w="3175">
              <a:solidFill>
                <a:srgbClr val="808080"/>
              </a:solidFill>
              <a:prstDash val="solid"/>
            </a:ln>
          </c:spPr>
          <c:marker>
            <c:symbol val="none"/>
          </c:marker>
          <c:xVal>
            <c:numLit>
              <c:formatCode>General</c:formatCode>
              <c:ptCount val="2"/>
              <c:pt idx="0">
                <c:v>3.9679738513258482</c:v>
              </c:pt>
              <c:pt idx="1">
                <c:v>4.2679738513258485</c:v>
              </c:pt>
            </c:numLit>
          </c:xVal>
          <c:yVal>
            <c:numLit>
              <c:formatCode>General</c:formatCode>
              <c:ptCount val="2"/>
              <c:pt idx="0">
                <c:v>1.4652358637458056E-2</c:v>
              </c:pt>
              <c:pt idx="1">
                <c:v>1.4536779531205505E-2</c:v>
              </c:pt>
            </c:numLit>
          </c:yVal>
          <c:smooth val="0"/>
          <c:extLst>
            <c:ext xmlns:c16="http://schemas.microsoft.com/office/drawing/2014/chart" uri="{C3380CC4-5D6E-409C-BE32-E72D297353CC}">
              <c16:uniqueId val="{00000041-4137-4E27-8261-4217D1D72476}"/>
            </c:ext>
          </c:extLst>
        </c:ser>
        <c:ser>
          <c:idx val="55"/>
          <c:order val="55"/>
          <c:tx>
            <c:v>h=43</c:v>
          </c:tx>
          <c:spPr>
            <a:ln w="3175">
              <a:solidFill>
                <a:srgbClr val="808080"/>
              </a:solidFill>
              <a:prstDash val="solid"/>
            </a:ln>
          </c:spPr>
          <c:marker>
            <c:symbol val="none"/>
          </c:marker>
          <c:xVal>
            <c:numLit>
              <c:formatCode>General</c:formatCode>
              <c:ptCount val="2"/>
              <c:pt idx="0">
                <c:v>4.2763826330271817</c:v>
              </c:pt>
              <c:pt idx="1">
                <c:v>4.5763826330271815</c:v>
              </c:pt>
            </c:numLit>
          </c:xVal>
          <c:yVal>
            <c:numLit>
              <c:formatCode>General</c:formatCode>
              <c:ptCount val="2"/>
              <c:pt idx="0">
                <c:v>1.49182571592809E-2</c:v>
              </c:pt>
              <c:pt idx="1">
                <c:v>1.4802682286577985E-2</c:v>
              </c:pt>
            </c:numLit>
          </c:yVal>
          <c:smooth val="0"/>
          <c:extLst>
            <c:ext xmlns:c16="http://schemas.microsoft.com/office/drawing/2014/chart" uri="{C3380CC4-5D6E-409C-BE32-E72D297353CC}">
              <c16:uniqueId val="{00000042-4137-4E27-8261-4217D1D72476}"/>
            </c:ext>
          </c:extLst>
        </c:ser>
        <c:ser>
          <c:idx val="56"/>
          <c:order val="56"/>
          <c:tx>
            <c:v>h=44</c:v>
          </c:tx>
          <c:spPr>
            <a:ln w="3175">
              <a:solidFill>
                <a:srgbClr val="808080"/>
              </a:solidFill>
              <a:prstDash val="solid"/>
            </a:ln>
          </c:spPr>
          <c:marker>
            <c:symbol val="none"/>
          </c:marker>
          <c:xVal>
            <c:numLit>
              <c:formatCode>General</c:formatCode>
              <c:ptCount val="2"/>
              <c:pt idx="0">
                <c:v>4.5847914147285156</c:v>
              </c:pt>
              <c:pt idx="1">
                <c:v>4.8847914147285154</c:v>
              </c:pt>
            </c:numLit>
          </c:xVal>
          <c:yVal>
            <c:numLit>
              <c:formatCode>General</c:formatCode>
              <c:ptCount val="2"/>
              <c:pt idx="0">
                <c:v>1.5184155681103746E-2</c:v>
              </c:pt>
              <c:pt idx="1">
                <c:v>1.5068584893384172E-2</c:v>
              </c:pt>
            </c:numLit>
          </c:yVal>
          <c:smooth val="0"/>
          <c:extLst>
            <c:ext xmlns:c16="http://schemas.microsoft.com/office/drawing/2014/chart" uri="{C3380CC4-5D6E-409C-BE32-E72D297353CC}">
              <c16:uniqueId val="{00000043-4137-4E27-8261-4217D1D72476}"/>
            </c:ext>
          </c:extLst>
        </c:ser>
        <c:ser>
          <c:idx val="57"/>
          <c:order val="57"/>
          <c:tx>
            <c:v>h=45</c:v>
          </c:tx>
          <c:spPr>
            <a:ln w="3175">
              <a:solidFill>
                <a:srgbClr val="808080"/>
              </a:solidFill>
              <a:prstDash val="solid"/>
            </a:ln>
          </c:spPr>
          <c:marker>
            <c:symbol val="none"/>
          </c:marker>
          <c:dLbls>
            <c:dLbl>
              <c:idx val="0"/>
              <c:layout>
                <c:manualLayout>
                  <c:x val="-3.0087489063867049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45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4-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4.8932001964298495</c:v>
              </c:pt>
              <c:pt idx="1">
                <c:v>45</c:v>
              </c:pt>
            </c:numLit>
          </c:xVal>
          <c:yVal>
            <c:numLit>
              <c:formatCode>General</c:formatCode>
              <c:ptCount val="2"/>
              <c:pt idx="0">
                <c:v>1.545005420292659E-2</c:v>
              </c:pt>
              <c:pt idx="1">
                <c:v>0</c:v>
              </c:pt>
            </c:numLit>
          </c:yVal>
          <c:smooth val="0"/>
          <c:extLst>
            <c:ext xmlns:c16="http://schemas.microsoft.com/office/drawing/2014/chart" uri="{C3380CC4-5D6E-409C-BE32-E72D297353CC}">
              <c16:uniqueId val="{00000045-4137-4E27-8261-4217D1D72476}"/>
            </c:ext>
          </c:extLst>
        </c:ser>
        <c:ser>
          <c:idx val="58"/>
          <c:order val="58"/>
          <c:tx>
            <c:v>h=46</c:v>
          </c:tx>
          <c:spPr>
            <a:ln w="3175">
              <a:solidFill>
                <a:srgbClr val="808080"/>
              </a:solidFill>
              <a:prstDash val="solid"/>
            </a:ln>
          </c:spPr>
          <c:marker>
            <c:symbol val="none"/>
          </c:marker>
          <c:xVal>
            <c:numLit>
              <c:formatCode>General</c:formatCode>
              <c:ptCount val="2"/>
              <c:pt idx="0">
                <c:v>5.2016089781311825</c:v>
              </c:pt>
              <c:pt idx="1">
                <c:v>5.5016089781311823</c:v>
              </c:pt>
            </c:numLit>
          </c:xVal>
          <c:yVal>
            <c:numLit>
              <c:formatCode>General</c:formatCode>
              <c:ptCount val="2"/>
              <c:pt idx="0">
                <c:v>1.5715952724749432E-2</c:v>
              </c:pt>
              <c:pt idx="1">
                <c:v>1.5600389691518597E-2</c:v>
              </c:pt>
            </c:numLit>
          </c:yVal>
          <c:smooth val="0"/>
          <c:extLst>
            <c:ext xmlns:c16="http://schemas.microsoft.com/office/drawing/2014/chart" uri="{C3380CC4-5D6E-409C-BE32-E72D297353CC}">
              <c16:uniqueId val="{00000046-4137-4E27-8261-4217D1D72476}"/>
            </c:ext>
          </c:extLst>
        </c:ser>
        <c:ser>
          <c:idx val="59"/>
          <c:order val="59"/>
          <c:tx>
            <c:v>h=47</c:v>
          </c:tx>
          <c:spPr>
            <a:ln w="3175">
              <a:solidFill>
                <a:srgbClr val="808080"/>
              </a:solidFill>
              <a:prstDash val="solid"/>
            </a:ln>
          </c:spPr>
          <c:marker>
            <c:symbol val="none"/>
          </c:marker>
          <c:xVal>
            <c:numLit>
              <c:formatCode>General</c:formatCode>
              <c:ptCount val="2"/>
              <c:pt idx="0">
                <c:v>5.5100177598325164</c:v>
              </c:pt>
              <c:pt idx="1">
                <c:v>5.8100177598325162</c:v>
              </c:pt>
            </c:numLit>
          </c:xVal>
          <c:yVal>
            <c:numLit>
              <c:formatCode>General</c:formatCode>
              <c:ptCount val="2"/>
              <c:pt idx="0">
                <c:v>1.5981851246572278E-2</c:v>
              </c:pt>
              <c:pt idx="1">
                <c:v>1.5866291896697939E-2</c:v>
              </c:pt>
            </c:numLit>
          </c:yVal>
          <c:smooth val="0"/>
          <c:extLst>
            <c:ext xmlns:c16="http://schemas.microsoft.com/office/drawing/2014/chart" uri="{C3380CC4-5D6E-409C-BE32-E72D297353CC}">
              <c16:uniqueId val="{00000047-4137-4E27-8261-4217D1D72476}"/>
            </c:ext>
          </c:extLst>
        </c:ser>
        <c:ser>
          <c:idx val="60"/>
          <c:order val="60"/>
          <c:tx>
            <c:v>h=48</c:v>
          </c:tx>
          <c:spPr>
            <a:ln w="3175">
              <a:solidFill>
                <a:srgbClr val="808080"/>
              </a:solidFill>
              <a:prstDash val="solid"/>
            </a:ln>
          </c:spPr>
          <c:marker>
            <c:symbol val="none"/>
          </c:marker>
          <c:xVal>
            <c:numLit>
              <c:formatCode>General</c:formatCode>
              <c:ptCount val="2"/>
              <c:pt idx="0">
                <c:v>5.8184265415338503</c:v>
              </c:pt>
              <c:pt idx="1">
                <c:v>6.1184265415338501</c:v>
              </c:pt>
            </c:numLit>
          </c:xVal>
          <c:yVal>
            <c:numLit>
              <c:formatCode>General</c:formatCode>
              <c:ptCount val="2"/>
              <c:pt idx="0">
                <c:v>1.6247749768395124E-2</c:v>
              </c:pt>
              <c:pt idx="1">
                <c:v>1.613219398109577E-2</c:v>
              </c:pt>
            </c:numLit>
          </c:yVal>
          <c:smooth val="0"/>
          <c:extLst>
            <c:ext xmlns:c16="http://schemas.microsoft.com/office/drawing/2014/chart" uri="{C3380CC4-5D6E-409C-BE32-E72D297353CC}">
              <c16:uniqueId val="{00000048-4137-4E27-8261-4217D1D72476}"/>
            </c:ext>
          </c:extLst>
        </c:ser>
        <c:ser>
          <c:idx val="61"/>
          <c:order val="61"/>
          <c:tx>
            <c:v>h=49</c:v>
          </c:tx>
          <c:spPr>
            <a:ln w="3175">
              <a:solidFill>
                <a:srgbClr val="808080"/>
              </a:solidFill>
              <a:prstDash val="solid"/>
            </a:ln>
          </c:spPr>
          <c:marker>
            <c:symbol val="none"/>
          </c:marker>
          <c:xVal>
            <c:numLit>
              <c:formatCode>General</c:formatCode>
              <c:ptCount val="2"/>
              <c:pt idx="0">
                <c:v>6.1268353232351833</c:v>
              </c:pt>
              <c:pt idx="1">
                <c:v>6.4268353232351831</c:v>
              </c:pt>
            </c:numLit>
          </c:xVal>
          <c:yVal>
            <c:numLit>
              <c:formatCode>General</c:formatCode>
              <c:ptCount val="2"/>
              <c:pt idx="0">
                <c:v>1.6513648290217967E-2</c:v>
              </c:pt>
              <c:pt idx="1">
                <c:v>1.639809595055711E-2</c:v>
              </c:pt>
            </c:numLit>
          </c:yVal>
          <c:smooth val="0"/>
          <c:extLst>
            <c:ext xmlns:c16="http://schemas.microsoft.com/office/drawing/2014/chart" uri="{C3380CC4-5D6E-409C-BE32-E72D297353CC}">
              <c16:uniqueId val="{00000049-4137-4E27-8261-4217D1D72476}"/>
            </c:ext>
          </c:extLst>
        </c:ser>
        <c:ser>
          <c:idx val="62"/>
          <c:order val="62"/>
          <c:tx>
            <c:v>h=50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A-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6.4352441049365172</c:v>
              </c:pt>
              <c:pt idx="1">
                <c:v>50</c:v>
              </c:pt>
            </c:numLit>
          </c:xVal>
          <c:yVal>
            <c:numLit>
              <c:formatCode>General</c:formatCode>
              <c:ptCount val="2"/>
              <c:pt idx="0">
                <c:v>1.6779546812040812E-2</c:v>
              </c:pt>
              <c:pt idx="1">
                <c:v>0</c:v>
              </c:pt>
            </c:numLit>
          </c:yVal>
          <c:smooth val="0"/>
          <c:extLst>
            <c:ext xmlns:c16="http://schemas.microsoft.com/office/drawing/2014/chart" uri="{C3380CC4-5D6E-409C-BE32-E72D297353CC}">
              <c16:uniqueId val="{0000004B-4137-4E27-8261-4217D1D72476}"/>
            </c:ext>
          </c:extLst>
        </c:ser>
        <c:ser>
          <c:idx val="63"/>
          <c:order val="63"/>
          <c:tx>
            <c:v>h=51</c:v>
          </c:tx>
          <c:spPr>
            <a:ln w="3175">
              <a:solidFill>
                <a:srgbClr val="808080"/>
              </a:solidFill>
              <a:prstDash val="solid"/>
            </a:ln>
          </c:spPr>
          <c:marker>
            <c:symbol val="none"/>
          </c:marker>
          <c:xVal>
            <c:numLit>
              <c:formatCode>General</c:formatCode>
              <c:ptCount val="2"/>
              <c:pt idx="0">
                <c:v>6.7436528866378502</c:v>
              </c:pt>
              <c:pt idx="1">
                <c:v>7.0436528866378509</c:v>
              </c:pt>
            </c:numLit>
          </c:xVal>
          <c:yVal>
            <c:numLit>
              <c:formatCode>General</c:formatCode>
              <c:ptCount val="2"/>
              <c:pt idx="0">
                <c:v>1.7045445333863655E-2</c:v>
              </c:pt>
              <c:pt idx="1">
                <c:v>1.692989956622358E-2</c:v>
              </c:pt>
            </c:numLit>
          </c:yVal>
          <c:smooth val="0"/>
          <c:extLst>
            <c:ext xmlns:c16="http://schemas.microsoft.com/office/drawing/2014/chart" uri="{C3380CC4-5D6E-409C-BE32-E72D297353CC}">
              <c16:uniqueId val="{0000004C-4137-4E27-8261-4217D1D72476}"/>
            </c:ext>
          </c:extLst>
        </c:ser>
        <c:ser>
          <c:idx val="64"/>
          <c:order val="64"/>
          <c:tx>
            <c:v>h=52</c:v>
          </c:tx>
          <c:spPr>
            <a:ln w="3175">
              <a:solidFill>
                <a:srgbClr val="808080"/>
              </a:solidFill>
              <a:prstDash val="solid"/>
            </a:ln>
          </c:spPr>
          <c:marker>
            <c:symbol val="none"/>
          </c:marker>
          <c:xVal>
            <c:numLit>
              <c:formatCode>General</c:formatCode>
              <c:ptCount val="2"/>
              <c:pt idx="0">
                <c:v>7.0520616683391841</c:v>
              </c:pt>
              <c:pt idx="1">
                <c:v>7.352061668339184</c:v>
              </c:pt>
            </c:numLit>
          </c:xVal>
          <c:yVal>
            <c:numLit>
              <c:formatCode>General</c:formatCode>
              <c:ptCount val="2"/>
              <c:pt idx="0">
                <c:v>1.7311343855686501E-2</c:v>
              </c:pt>
              <c:pt idx="1">
                <c:v>1.719580122237627E-2</c:v>
              </c:pt>
            </c:numLit>
          </c:yVal>
          <c:smooth val="0"/>
          <c:extLst>
            <c:ext xmlns:c16="http://schemas.microsoft.com/office/drawing/2014/chart" uri="{C3380CC4-5D6E-409C-BE32-E72D297353CC}">
              <c16:uniqueId val="{0000004D-4137-4E27-8261-4217D1D72476}"/>
            </c:ext>
          </c:extLst>
        </c:ser>
        <c:ser>
          <c:idx val="65"/>
          <c:order val="65"/>
          <c:tx>
            <c:v>h=53</c:v>
          </c:tx>
          <c:spPr>
            <a:ln w="3175">
              <a:solidFill>
                <a:srgbClr val="808080"/>
              </a:solidFill>
              <a:prstDash val="solid"/>
            </a:ln>
          </c:spPr>
          <c:marker>
            <c:symbol val="none"/>
          </c:marker>
          <c:xVal>
            <c:numLit>
              <c:formatCode>General</c:formatCode>
              <c:ptCount val="2"/>
              <c:pt idx="0">
                <c:v>7.360470450040518</c:v>
              </c:pt>
              <c:pt idx="1">
                <c:v>7.6604704500405179</c:v>
              </c:pt>
            </c:numLit>
          </c:xVal>
          <c:yVal>
            <c:numLit>
              <c:formatCode>General</c:formatCode>
              <c:ptCount val="2"/>
              <c:pt idx="0">
                <c:v>1.7577242377509347E-2</c:v>
              </c:pt>
              <c:pt idx="1">
                <c:v>1.7461702783537841E-2</c:v>
              </c:pt>
            </c:numLit>
          </c:yVal>
          <c:smooth val="0"/>
          <c:extLst>
            <c:ext xmlns:c16="http://schemas.microsoft.com/office/drawing/2014/chart" uri="{C3380CC4-5D6E-409C-BE32-E72D297353CC}">
              <c16:uniqueId val="{0000004E-4137-4E27-8261-4217D1D72476}"/>
            </c:ext>
          </c:extLst>
        </c:ser>
        <c:ser>
          <c:idx val="66"/>
          <c:order val="66"/>
          <c:tx>
            <c:v>h=54</c:v>
          </c:tx>
          <c:spPr>
            <a:ln w="3175">
              <a:solidFill>
                <a:srgbClr val="808080"/>
              </a:solidFill>
              <a:prstDash val="solid"/>
            </a:ln>
          </c:spPr>
          <c:marker>
            <c:symbol val="none"/>
          </c:marker>
          <c:xVal>
            <c:numLit>
              <c:formatCode>General</c:formatCode>
              <c:ptCount val="2"/>
              <c:pt idx="0">
                <c:v>7.668879231741851</c:v>
              </c:pt>
              <c:pt idx="1">
                <c:v>7.9688792317418518</c:v>
              </c:pt>
            </c:numLit>
          </c:xVal>
          <c:yVal>
            <c:numLit>
              <c:formatCode>General</c:formatCode>
              <c:ptCount val="2"/>
              <c:pt idx="0">
                <c:v>1.7843140899332189E-2</c:v>
              </c:pt>
              <c:pt idx="1">
                <c:v>1.772760425396213E-2</c:v>
              </c:pt>
            </c:numLit>
          </c:yVal>
          <c:smooth val="0"/>
          <c:extLst>
            <c:ext xmlns:c16="http://schemas.microsoft.com/office/drawing/2014/chart" uri="{C3380CC4-5D6E-409C-BE32-E72D297353CC}">
              <c16:uniqueId val="{0000004F-4137-4E27-8261-4217D1D72476}"/>
            </c:ext>
          </c:extLst>
        </c:ser>
        <c:ser>
          <c:idx val="67"/>
          <c:order val="67"/>
          <c:tx>
            <c:v>h=55</c:v>
          </c:tx>
          <c:spPr>
            <a:ln w="3175">
              <a:solidFill>
                <a:srgbClr val="808080"/>
              </a:solidFill>
              <a:prstDash val="solid"/>
            </a:ln>
          </c:spPr>
          <c:marker>
            <c:symbol val="none"/>
          </c:marker>
          <c:dLbls>
            <c:dLbl>
              <c:idx val="0"/>
              <c:layout>
                <c:manualLayout>
                  <c:x val="-3.0087489063867049E-2"/>
                  <c:y val="-9.347701729591571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55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0-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7.9772880134431849</c:v>
              </c:pt>
              <c:pt idx="1">
                <c:v>50</c:v>
              </c:pt>
            </c:numLit>
          </c:xVal>
          <c:yVal>
            <c:numLit>
              <c:formatCode>General</c:formatCode>
              <c:ptCount val="2"/>
              <c:pt idx="0">
                <c:v>1.8109039421155035E-2</c:v>
              </c:pt>
              <c:pt idx="1">
                <c:v>1.8118735543562064E-3</c:v>
              </c:pt>
            </c:numLit>
          </c:yVal>
          <c:smooth val="0"/>
          <c:extLst>
            <c:ext xmlns:c16="http://schemas.microsoft.com/office/drawing/2014/chart" uri="{C3380CC4-5D6E-409C-BE32-E72D297353CC}">
              <c16:uniqueId val="{00000051-4137-4E27-8261-4217D1D72476}"/>
            </c:ext>
          </c:extLst>
        </c:ser>
        <c:ser>
          <c:idx val="68"/>
          <c:order val="68"/>
          <c:tx>
            <c:v>h=56</c:v>
          </c:tx>
          <c:spPr>
            <a:ln w="3175">
              <a:solidFill>
                <a:srgbClr val="808080"/>
              </a:solidFill>
              <a:prstDash val="solid"/>
            </a:ln>
          </c:spPr>
          <c:marker>
            <c:symbol val="none"/>
          </c:marker>
          <c:xVal>
            <c:numLit>
              <c:formatCode>General</c:formatCode>
              <c:ptCount val="2"/>
              <c:pt idx="0">
                <c:v>8.2856967951445188</c:v>
              </c:pt>
              <c:pt idx="1">
                <c:v>8.5856967951445178</c:v>
              </c:pt>
            </c:numLit>
          </c:xVal>
          <c:yVal>
            <c:numLit>
              <c:formatCode>General</c:formatCode>
              <c:ptCount val="2"/>
              <c:pt idx="0">
                <c:v>1.8374937942977877E-2</c:v>
              </c:pt>
              <c:pt idx="1">
                <c:v>1.8259406938381077E-2</c:v>
              </c:pt>
            </c:numLit>
          </c:yVal>
          <c:smooth val="0"/>
          <c:extLst>
            <c:ext xmlns:c16="http://schemas.microsoft.com/office/drawing/2014/chart" uri="{C3380CC4-5D6E-409C-BE32-E72D297353CC}">
              <c16:uniqueId val="{00000052-4137-4E27-8261-4217D1D72476}"/>
            </c:ext>
          </c:extLst>
        </c:ser>
        <c:ser>
          <c:idx val="69"/>
          <c:order val="69"/>
          <c:tx>
            <c:v>h=57</c:v>
          </c:tx>
          <c:spPr>
            <a:ln w="3175">
              <a:solidFill>
                <a:srgbClr val="808080"/>
              </a:solidFill>
              <a:prstDash val="solid"/>
            </a:ln>
          </c:spPr>
          <c:marker>
            <c:symbol val="none"/>
          </c:marker>
          <c:xVal>
            <c:numLit>
              <c:formatCode>General</c:formatCode>
              <c:ptCount val="2"/>
              <c:pt idx="0">
                <c:v>8.5941055768458519</c:v>
              </c:pt>
              <c:pt idx="1">
                <c:v>8.8941055768458526</c:v>
              </c:pt>
            </c:numLit>
          </c:xVal>
          <c:yVal>
            <c:numLit>
              <c:formatCode>General</c:formatCode>
              <c:ptCount val="2"/>
              <c:pt idx="0">
                <c:v>1.8640836464800723E-2</c:v>
              </c:pt>
              <c:pt idx="1">
                <c:v>1.8525308159703126E-2</c:v>
              </c:pt>
            </c:numLit>
          </c:yVal>
          <c:smooth val="0"/>
          <c:extLst>
            <c:ext xmlns:c16="http://schemas.microsoft.com/office/drawing/2014/chart" uri="{C3380CC4-5D6E-409C-BE32-E72D297353CC}">
              <c16:uniqueId val="{00000053-4137-4E27-8261-4217D1D72476}"/>
            </c:ext>
          </c:extLst>
        </c:ser>
        <c:ser>
          <c:idx val="70"/>
          <c:order val="70"/>
          <c:tx>
            <c:v>h=58</c:v>
          </c:tx>
          <c:spPr>
            <a:ln w="3175">
              <a:solidFill>
                <a:srgbClr val="808080"/>
              </a:solidFill>
              <a:prstDash val="solid"/>
            </a:ln>
          </c:spPr>
          <c:marker>
            <c:symbol val="none"/>
          </c:marker>
          <c:xVal>
            <c:numLit>
              <c:formatCode>General</c:formatCode>
              <c:ptCount val="2"/>
              <c:pt idx="0">
                <c:v>8.9025143585471849</c:v>
              </c:pt>
              <c:pt idx="1">
                <c:v>9.2025143585471856</c:v>
              </c:pt>
            </c:numLit>
          </c:xVal>
          <c:yVal>
            <c:numLit>
              <c:formatCode>General</c:formatCode>
              <c:ptCount val="2"/>
              <c:pt idx="0">
                <c:v>1.8906734986623566E-2</c:v>
              </c:pt>
              <c:pt idx="1">
                <c:v>1.8791209304974438E-2</c:v>
              </c:pt>
            </c:numLit>
          </c:yVal>
          <c:smooth val="0"/>
          <c:extLst>
            <c:ext xmlns:c16="http://schemas.microsoft.com/office/drawing/2014/chart" uri="{C3380CC4-5D6E-409C-BE32-E72D297353CC}">
              <c16:uniqueId val="{00000054-4137-4E27-8261-4217D1D72476}"/>
            </c:ext>
          </c:extLst>
        </c:ser>
        <c:ser>
          <c:idx val="71"/>
          <c:order val="71"/>
          <c:tx>
            <c:v>h=59</c:v>
          </c:tx>
          <c:spPr>
            <a:ln w="3175">
              <a:solidFill>
                <a:srgbClr val="808080"/>
              </a:solidFill>
              <a:prstDash val="solid"/>
            </a:ln>
          </c:spPr>
          <c:marker>
            <c:symbol val="none"/>
          </c:marker>
          <c:xVal>
            <c:numLit>
              <c:formatCode>General</c:formatCode>
              <c:ptCount val="2"/>
              <c:pt idx="0">
                <c:v>9.2109231402485197</c:v>
              </c:pt>
              <c:pt idx="1">
                <c:v>9.5109231402485186</c:v>
              </c:pt>
            </c:numLit>
          </c:xVal>
          <c:yVal>
            <c:numLit>
              <c:formatCode>General</c:formatCode>
              <c:ptCount val="2"/>
              <c:pt idx="0">
                <c:v>1.9172633508446411E-2</c:v>
              </c:pt>
              <c:pt idx="1">
                <c:v>1.9057110377364149E-2</c:v>
              </c:pt>
            </c:numLit>
          </c:yVal>
          <c:smooth val="0"/>
          <c:extLst>
            <c:ext xmlns:c16="http://schemas.microsoft.com/office/drawing/2014/chart" uri="{C3380CC4-5D6E-409C-BE32-E72D297353CC}">
              <c16:uniqueId val="{00000055-4137-4E27-8261-4217D1D72476}"/>
            </c:ext>
          </c:extLst>
        </c:ser>
        <c:ser>
          <c:idx val="72"/>
          <c:order val="72"/>
          <c:tx>
            <c:v>h=60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60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6-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9.5193319219498527</c:v>
              </c:pt>
              <c:pt idx="1">
                <c:v>50</c:v>
              </c:pt>
            </c:numLit>
          </c:xVal>
          <c:yVal>
            <c:numLit>
              <c:formatCode>General</c:formatCode>
              <c:ptCount val="2"/>
              <c:pt idx="0">
                <c:v>1.9438532030269257E-2</c:v>
              </c:pt>
              <c:pt idx="1">
                <c:v>3.7393986121819585E-3</c:v>
              </c:pt>
            </c:numLit>
          </c:yVal>
          <c:smooth val="0"/>
          <c:extLst>
            <c:ext xmlns:c16="http://schemas.microsoft.com/office/drawing/2014/chart" uri="{C3380CC4-5D6E-409C-BE32-E72D297353CC}">
              <c16:uniqueId val="{00000057-4137-4E27-8261-4217D1D72476}"/>
            </c:ext>
          </c:extLst>
        </c:ser>
        <c:ser>
          <c:idx val="73"/>
          <c:order val="73"/>
          <c:tx>
            <c:v>h=61</c:v>
          </c:tx>
          <c:spPr>
            <a:ln w="3175">
              <a:solidFill>
                <a:srgbClr val="808080"/>
              </a:solidFill>
              <a:prstDash val="solid"/>
            </a:ln>
          </c:spPr>
          <c:marker>
            <c:symbol val="none"/>
          </c:marker>
          <c:xVal>
            <c:numLit>
              <c:formatCode>General</c:formatCode>
              <c:ptCount val="2"/>
              <c:pt idx="0">
                <c:v>9.8277407036511857</c:v>
              </c:pt>
              <c:pt idx="1">
                <c:v>10.127740703651186</c:v>
              </c:pt>
            </c:numLit>
          </c:xVal>
          <c:yVal>
            <c:numLit>
              <c:formatCode>General</c:formatCode>
              <c:ptCount val="2"/>
              <c:pt idx="0">
                <c:v>1.97044305520921E-2</c:v>
              </c:pt>
              <c:pt idx="1">
                <c:v>1.9588912315318657E-2</c:v>
              </c:pt>
            </c:numLit>
          </c:yVal>
          <c:smooth val="0"/>
          <c:extLst>
            <c:ext xmlns:c16="http://schemas.microsoft.com/office/drawing/2014/chart" uri="{C3380CC4-5D6E-409C-BE32-E72D297353CC}">
              <c16:uniqueId val="{00000058-4137-4E27-8261-4217D1D72476}"/>
            </c:ext>
          </c:extLst>
        </c:ser>
        <c:ser>
          <c:idx val="74"/>
          <c:order val="74"/>
          <c:tx>
            <c:v>h=62</c:v>
          </c:tx>
          <c:spPr>
            <a:ln w="3175">
              <a:solidFill>
                <a:srgbClr val="808080"/>
              </a:solidFill>
              <a:prstDash val="solid"/>
            </a:ln>
          </c:spPr>
          <c:marker>
            <c:symbol val="none"/>
          </c:marker>
          <c:xVal>
            <c:numLit>
              <c:formatCode>General</c:formatCode>
              <c:ptCount val="2"/>
              <c:pt idx="0">
                <c:v>10.13614948535252</c:v>
              </c:pt>
              <c:pt idx="1">
                <c:v>10.436149485352519</c:v>
              </c:pt>
            </c:numLit>
          </c:xVal>
          <c:yVal>
            <c:numLit>
              <c:formatCode>General</c:formatCode>
              <c:ptCount val="2"/>
              <c:pt idx="0">
                <c:v>1.9970329073914946E-2</c:v>
              </c:pt>
              <c:pt idx="1">
                <c:v>1.9854813186399374E-2</c:v>
              </c:pt>
            </c:numLit>
          </c:yVal>
          <c:smooth val="0"/>
          <c:extLst>
            <c:ext xmlns:c16="http://schemas.microsoft.com/office/drawing/2014/chart" uri="{C3380CC4-5D6E-409C-BE32-E72D297353CC}">
              <c16:uniqueId val="{00000059-4137-4E27-8261-4217D1D72476}"/>
            </c:ext>
          </c:extLst>
        </c:ser>
        <c:ser>
          <c:idx val="75"/>
          <c:order val="75"/>
          <c:tx>
            <c:v>h=63</c:v>
          </c:tx>
          <c:spPr>
            <a:ln w="3175">
              <a:solidFill>
                <a:srgbClr val="808080"/>
              </a:solidFill>
              <a:prstDash val="solid"/>
            </a:ln>
          </c:spPr>
          <c:marker>
            <c:symbol val="none"/>
          </c:marker>
          <c:xVal>
            <c:numLit>
              <c:formatCode>General</c:formatCode>
              <c:ptCount val="2"/>
              <c:pt idx="0">
                <c:v>10.444558267053853</c:v>
              </c:pt>
              <c:pt idx="1">
                <c:v>10.744558267053854</c:v>
              </c:pt>
            </c:numLit>
          </c:xVal>
          <c:yVal>
            <c:numLit>
              <c:formatCode>General</c:formatCode>
              <c:ptCount val="2"/>
              <c:pt idx="0">
                <c:v>2.0236227595737788E-2</c:v>
              </c:pt>
              <c:pt idx="1">
                <c:v>2.012071399565105E-2</c:v>
              </c:pt>
            </c:numLit>
          </c:yVal>
          <c:smooth val="0"/>
          <c:extLst>
            <c:ext xmlns:c16="http://schemas.microsoft.com/office/drawing/2014/chart" uri="{C3380CC4-5D6E-409C-BE32-E72D297353CC}">
              <c16:uniqueId val="{0000005A-4137-4E27-8261-4217D1D72476}"/>
            </c:ext>
          </c:extLst>
        </c:ser>
        <c:ser>
          <c:idx val="76"/>
          <c:order val="76"/>
          <c:tx>
            <c:v>h=64</c:v>
          </c:tx>
          <c:spPr>
            <a:ln w="3175">
              <a:solidFill>
                <a:srgbClr val="808080"/>
              </a:solidFill>
              <a:prstDash val="solid"/>
            </a:ln>
          </c:spPr>
          <c:marker>
            <c:symbol val="none"/>
          </c:marker>
          <c:xVal>
            <c:numLit>
              <c:formatCode>General</c:formatCode>
              <c:ptCount val="2"/>
              <c:pt idx="0">
                <c:v>10.752967048755186</c:v>
              </c:pt>
              <c:pt idx="1">
                <c:v>11.052967048755187</c:v>
              </c:pt>
            </c:numLit>
          </c:xVal>
          <c:yVal>
            <c:numLit>
              <c:formatCode>General</c:formatCode>
              <c:ptCount val="2"/>
              <c:pt idx="0">
                <c:v>2.0502126117560634E-2</c:v>
              </c:pt>
              <c:pt idx="1">
                <c:v>2.0386614745482871E-2</c:v>
              </c:pt>
            </c:numLit>
          </c:yVal>
          <c:smooth val="0"/>
          <c:extLst>
            <c:ext xmlns:c16="http://schemas.microsoft.com/office/drawing/2014/chart" uri="{C3380CC4-5D6E-409C-BE32-E72D297353CC}">
              <c16:uniqueId val="{0000005B-4137-4E27-8261-4217D1D72476}"/>
            </c:ext>
          </c:extLst>
        </c:ser>
        <c:ser>
          <c:idx val="77"/>
          <c:order val="77"/>
          <c:tx>
            <c:v>h=65</c:v>
          </c:tx>
          <c:spPr>
            <a:ln w="3175">
              <a:solidFill>
                <a:srgbClr val="808080"/>
              </a:solidFill>
              <a:prstDash val="solid"/>
            </a:ln>
          </c:spPr>
          <c:marker>
            <c:symbol val="none"/>
          </c:marker>
          <c:dLbls>
            <c:dLbl>
              <c:idx val="0"/>
              <c:layout>
                <c:manualLayout>
                  <c:x val="-3.008748906386708E-2"/>
                  <c:y val="-9.347701729591532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65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C-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11.061375830456521</c:v>
              </c:pt>
              <c:pt idx="1">
                <c:v>50</c:v>
              </c:pt>
            </c:numLit>
          </c:xVal>
          <c:yVal>
            <c:numLit>
              <c:formatCode>General</c:formatCode>
              <c:ptCount val="2"/>
              <c:pt idx="0">
                <c:v>2.0768024639383476E-2</c:v>
              </c:pt>
              <c:pt idx="1">
                <c:v>5.6669236700077098E-3</c:v>
              </c:pt>
            </c:numLit>
          </c:yVal>
          <c:smooth val="0"/>
          <c:extLst>
            <c:ext xmlns:c16="http://schemas.microsoft.com/office/drawing/2014/chart" uri="{C3380CC4-5D6E-409C-BE32-E72D297353CC}">
              <c16:uniqueId val="{0000005D-4137-4E27-8261-4217D1D72476}"/>
            </c:ext>
          </c:extLst>
        </c:ser>
        <c:ser>
          <c:idx val="78"/>
          <c:order val="78"/>
          <c:tx>
            <c:v>h=66</c:v>
          </c:tx>
          <c:spPr>
            <a:ln w="3175">
              <a:solidFill>
                <a:srgbClr val="808080"/>
              </a:solidFill>
              <a:prstDash val="solid"/>
            </a:ln>
          </c:spPr>
          <c:marker>
            <c:symbol val="none"/>
          </c:marker>
          <c:xVal>
            <c:numLit>
              <c:formatCode>General</c:formatCode>
              <c:ptCount val="2"/>
              <c:pt idx="0">
                <c:v>11.369784612157854</c:v>
              </c:pt>
              <c:pt idx="1">
                <c:v>11.669784612157855</c:v>
              </c:pt>
            </c:numLit>
          </c:xVal>
          <c:yVal>
            <c:numLit>
              <c:formatCode>General</c:formatCode>
              <c:ptCount val="2"/>
              <c:pt idx="0">
                <c:v>2.1033923161206322E-2</c:v>
              </c:pt>
              <c:pt idx="1">
                <c:v>2.0918416075913625E-2</c:v>
              </c:pt>
            </c:numLit>
          </c:yVal>
          <c:smooth val="0"/>
          <c:extLst>
            <c:ext xmlns:c16="http://schemas.microsoft.com/office/drawing/2014/chart" uri="{C3380CC4-5D6E-409C-BE32-E72D297353CC}">
              <c16:uniqueId val="{0000005E-4137-4E27-8261-4217D1D72476}"/>
            </c:ext>
          </c:extLst>
        </c:ser>
        <c:ser>
          <c:idx val="79"/>
          <c:order val="79"/>
          <c:tx>
            <c:v>h=67</c:v>
          </c:tx>
          <c:spPr>
            <a:ln w="3175">
              <a:solidFill>
                <a:srgbClr val="808080"/>
              </a:solidFill>
              <a:prstDash val="solid"/>
            </a:ln>
          </c:spPr>
          <c:marker>
            <c:symbol val="none"/>
          </c:marker>
          <c:xVal>
            <c:numLit>
              <c:formatCode>General</c:formatCode>
              <c:ptCount val="2"/>
              <c:pt idx="0">
                <c:v>11.678193393859187</c:v>
              </c:pt>
              <c:pt idx="1">
                <c:v>11.978193393859188</c:v>
              </c:pt>
            </c:numLit>
          </c:xVal>
          <c:yVal>
            <c:numLit>
              <c:formatCode>General</c:formatCode>
              <c:ptCount val="2"/>
              <c:pt idx="0">
                <c:v>2.1299821683029168E-2</c:v>
              </c:pt>
              <c:pt idx="1">
                <c:v>2.1184316660743805E-2</c:v>
              </c:pt>
            </c:numLit>
          </c:yVal>
          <c:smooth val="0"/>
          <c:extLst>
            <c:ext xmlns:c16="http://schemas.microsoft.com/office/drawing/2014/chart" uri="{C3380CC4-5D6E-409C-BE32-E72D297353CC}">
              <c16:uniqueId val="{0000005F-4137-4E27-8261-4217D1D72476}"/>
            </c:ext>
          </c:extLst>
        </c:ser>
        <c:ser>
          <c:idx val="80"/>
          <c:order val="80"/>
          <c:tx>
            <c:v>h=68</c:v>
          </c:tx>
          <c:spPr>
            <a:ln w="3175">
              <a:solidFill>
                <a:srgbClr val="808080"/>
              </a:solidFill>
              <a:prstDash val="solid"/>
            </a:ln>
          </c:spPr>
          <c:marker>
            <c:symbol val="none"/>
          </c:marker>
          <c:xVal>
            <c:numLit>
              <c:formatCode>General</c:formatCode>
              <c:ptCount val="2"/>
              <c:pt idx="0">
                <c:v>11.986602175560522</c:v>
              </c:pt>
              <c:pt idx="1">
                <c:v>12.286602175560521</c:v>
              </c:pt>
            </c:numLit>
          </c:xVal>
          <c:yVal>
            <c:numLit>
              <c:formatCode>General</c:formatCode>
              <c:ptCount val="2"/>
              <c:pt idx="0">
                <c:v>2.156572020485201E-2</c:v>
              </c:pt>
              <c:pt idx="1">
                <c:v>2.1450217194630538E-2</c:v>
              </c:pt>
            </c:numLit>
          </c:yVal>
          <c:smooth val="0"/>
          <c:extLst>
            <c:ext xmlns:c16="http://schemas.microsoft.com/office/drawing/2014/chart" uri="{C3380CC4-5D6E-409C-BE32-E72D297353CC}">
              <c16:uniqueId val="{00000060-4137-4E27-8261-4217D1D72476}"/>
            </c:ext>
          </c:extLst>
        </c:ser>
        <c:ser>
          <c:idx val="81"/>
          <c:order val="81"/>
          <c:tx>
            <c:v>h=69</c:v>
          </c:tx>
          <c:spPr>
            <a:ln w="3175">
              <a:solidFill>
                <a:srgbClr val="808080"/>
              </a:solidFill>
              <a:prstDash val="solid"/>
            </a:ln>
          </c:spPr>
          <c:marker>
            <c:symbol val="none"/>
          </c:marker>
          <c:xVal>
            <c:numLit>
              <c:formatCode>General</c:formatCode>
              <c:ptCount val="2"/>
              <c:pt idx="0">
                <c:v>12.295010957261855</c:v>
              </c:pt>
              <c:pt idx="1">
                <c:v>12.595010957261856</c:v>
              </c:pt>
            </c:numLit>
          </c:xVal>
          <c:yVal>
            <c:numLit>
              <c:formatCode>General</c:formatCode>
              <c:ptCount val="2"/>
              <c:pt idx="0">
                <c:v>2.1831618726674856E-2</c:v>
              </c:pt>
              <c:pt idx="1">
                <c:v>2.1716117679437794E-2</c:v>
              </c:pt>
            </c:numLit>
          </c:yVal>
          <c:smooth val="0"/>
          <c:extLst>
            <c:ext xmlns:c16="http://schemas.microsoft.com/office/drawing/2014/chart" uri="{C3380CC4-5D6E-409C-BE32-E72D297353CC}">
              <c16:uniqueId val="{00000061-4137-4E27-8261-4217D1D72476}"/>
            </c:ext>
          </c:extLst>
        </c:ser>
        <c:ser>
          <c:idx val="82"/>
          <c:order val="82"/>
          <c:tx>
            <c:v>h=70</c:v>
          </c:tx>
          <c:spPr>
            <a:ln w="3175">
              <a:solidFill>
                <a:srgbClr val="808080"/>
              </a:solidFill>
              <a:prstDash val="solid"/>
            </a:ln>
          </c:spPr>
          <c:marker>
            <c:symbol val="none"/>
          </c:marker>
          <c:dLbls>
            <c:dLbl>
              <c:idx val="0"/>
              <c:layout>
                <c:manualLayout>
                  <c:x val="-3.00874890638670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70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2-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12.603419738963188</c:v>
              </c:pt>
              <c:pt idx="1">
                <c:v>50</c:v>
              </c:pt>
            </c:numLit>
          </c:xVal>
          <c:yVal>
            <c:numLit>
              <c:formatCode>General</c:formatCode>
              <c:ptCount val="2"/>
              <c:pt idx="0">
                <c:v>2.2097517248497699E-2</c:v>
              </c:pt>
              <c:pt idx="1">
                <c:v>7.5944487278334621E-3</c:v>
              </c:pt>
            </c:numLit>
          </c:yVal>
          <c:smooth val="0"/>
          <c:extLst>
            <c:ext xmlns:c16="http://schemas.microsoft.com/office/drawing/2014/chart" uri="{C3380CC4-5D6E-409C-BE32-E72D297353CC}">
              <c16:uniqueId val="{00000063-4137-4E27-8261-4217D1D72476}"/>
            </c:ext>
          </c:extLst>
        </c:ser>
        <c:ser>
          <c:idx val="83"/>
          <c:order val="83"/>
          <c:tx>
            <c:v>h=71</c:v>
          </c:tx>
          <c:spPr>
            <a:ln w="3175">
              <a:solidFill>
                <a:srgbClr val="808080"/>
              </a:solidFill>
              <a:prstDash val="solid"/>
            </a:ln>
          </c:spPr>
          <c:marker>
            <c:symbol val="none"/>
          </c:marker>
          <c:xVal>
            <c:numLit>
              <c:formatCode>General</c:formatCode>
              <c:ptCount val="2"/>
              <c:pt idx="0">
                <c:v>12.911828520664523</c:v>
              </c:pt>
              <c:pt idx="1">
                <c:v>13.211828520664522</c:v>
              </c:pt>
            </c:numLit>
          </c:xVal>
          <c:yVal>
            <c:numLit>
              <c:formatCode>General</c:formatCode>
              <c:ptCount val="2"/>
              <c:pt idx="0">
                <c:v>2.2363415770320545E-2</c:v>
              </c:pt>
              <c:pt idx="1">
                <c:v>2.2247918508825872E-2</c:v>
              </c:pt>
            </c:numLit>
          </c:yVal>
          <c:smooth val="0"/>
          <c:extLst>
            <c:ext xmlns:c16="http://schemas.microsoft.com/office/drawing/2014/chart" uri="{C3380CC4-5D6E-409C-BE32-E72D297353CC}">
              <c16:uniqueId val="{00000064-4137-4E27-8261-4217D1D72476}"/>
            </c:ext>
          </c:extLst>
        </c:ser>
        <c:ser>
          <c:idx val="84"/>
          <c:order val="84"/>
          <c:tx>
            <c:v>h=72</c:v>
          </c:tx>
          <c:spPr>
            <a:ln w="3175">
              <a:solidFill>
                <a:srgbClr val="808080"/>
              </a:solidFill>
              <a:prstDash val="solid"/>
            </a:ln>
          </c:spPr>
          <c:marker>
            <c:symbol val="none"/>
          </c:marker>
          <c:xVal>
            <c:numLit>
              <c:formatCode>General</c:formatCode>
              <c:ptCount val="2"/>
              <c:pt idx="0">
                <c:v>13.220237302365856</c:v>
              </c:pt>
              <c:pt idx="1">
                <c:v>13.520237302365857</c:v>
              </c:pt>
            </c:numLit>
          </c:xVal>
          <c:yVal>
            <c:numLit>
              <c:formatCode>General</c:formatCode>
              <c:ptCount val="2"/>
              <c:pt idx="0">
                <c:v>2.262931429214339E-2</c:v>
              </c:pt>
              <c:pt idx="1">
                <c:v>2.2513818856706454E-2</c:v>
              </c:pt>
            </c:numLit>
          </c:yVal>
          <c:smooth val="0"/>
          <c:extLst>
            <c:ext xmlns:c16="http://schemas.microsoft.com/office/drawing/2014/chart" uri="{C3380CC4-5D6E-409C-BE32-E72D297353CC}">
              <c16:uniqueId val="{00000065-4137-4E27-8261-4217D1D72476}"/>
            </c:ext>
          </c:extLst>
        </c:ser>
        <c:ser>
          <c:idx val="85"/>
          <c:order val="85"/>
          <c:tx>
            <c:v>h=73</c:v>
          </c:tx>
          <c:spPr>
            <a:ln w="3175">
              <a:solidFill>
                <a:srgbClr val="808080"/>
              </a:solidFill>
              <a:prstDash val="solid"/>
            </a:ln>
          </c:spPr>
          <c:marker>
            <c:symbol val="none"/>
          </c:marker>
          <c:xVal>
            <c:numLit>
              <c:formatCode>General</c:formatCode>
              <c:ptCount val="2"/>
              <c:pt idx="0">
                <c:v>13.528646084067189</c:v>
              </c:pt>
              <c:pt idx="1">
                <c:v>13.82864608406719</c:v>
              </c:pt>
            </c:numLit>
          </c:xVal>
          <c:yVal>
            <c:numLit>
              <c:formatCode>General</c:formatCode>
              <c:ptCount val="2"/>
              <c:pt idx="0">
                <c:v>2.2895212813966233E-2</c:v>
              </c:pt>
              <c:pt idx="1">
                <c:v>2.2779719162116654E-2</c:v>
              </c:pt>
            </c:numLit>
          </c:yVal>
          <c:smooth val="0"/>
          <c:extLst>
            <c:ext xmlns:c16="http://schemas.microsoft.com/office/drawing/2014/chart" uri="{C3380CC4-5D6E-409C-BE32-E72D297353CC}">
              <c16:uniqueId val="{00000066-4137-4E27-8261-4217D1D72476}"/>
            </c:ext>
          </c:extLst>
        </c:ser>
        <c:ser>
          <c:idx val="86"/>
          <c:order val="86"/>
          <c:tx>
            <c:v>h=74</c:v>
          </c:tx>
          <c:spPr>
            <a:ln w="3175">
              <a:solidFill>
                <a:srgbClr val="808080"/>
              </a:solidFill>
              <a:prstDash val="solid"/>
            </a:ln>
          </c:spPr>
          <c:marker>
            <c:symbol val="none"/>
          </c:marker>
          <c:xVal>
            <c:numLit>
              <c:formatCode>General</c:formatCode>
              <c:ptCount val="2"/>
              <c:pt idx="0">
                <c:v>13.837054865768524</c:v>
              </c:pt>
              <c:pt idx="1">
                <c:v>14.137054865768523</c:v>
              </c:pt>
            </c:numLit>
          </c:xVal>
          <c:yVal>
            <c:numLit>
              <c:formatCode>General</c:formatCode>
              <c:ptCount val="2"/>
              <c:pt idx="0">
                <c:v>2.3161111335789079E-2</c:v>
              </c:pt>
              <c:pt idx="1">
                <c:v>2.3045619426521106E-2</c:v>
              </c:pt>
            </c:numLit>
          </c:yVal>
          <c:smooth val="0"/>
          <c:extLst>
            <c:ext xmlns:c16="http://schemas.microsoft.com/office/drawing/2014/chart" uri="{C3380CC4-5D6E-409C-BE32-E72D297353CC}">
              <c16:uniqueId val="{00000067-4137-4E27-8261-4217D1D72476}"/>
            </c:ext>
          </c:extLst>
        </c:ser>
        <c:ser>
          <c:idx val="87"/>
          <c:order val="87"/>
          <c:tx>
            <c:v>h=75</c:v>
          </c:tx>
          <c:spPr>
            <a:ln w="3175">
              <a:solidFill>
                <a:srgbClr val="808080"/>
              </a:solidFill>
              <a:prstDash val="solid"/>
            </a:ln>
          </c:spPr>
          <c:marker>
            <c:symbol val="none"/>
          </c:marker>
          <c:dLbls>
            <c:dLbl>
              <c:idx val="0"/>
              <c:layout>
                <c:manualLayout>
                  <c:x val="-3.0087489063867018E-2"/>
                  <c:y val="-9.3477017295915329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75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8-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14.145463647469857</c:v>
              </c:pt>
              <c:pt idx="1">
                <c:v>50</c:v>
              </c:pt>
            </c:numLit>
          </c:xVal>
          <c:yVal>
            <c:numLit>
              <c:formatCode>General</c:formatCode>
              <c:ptCount val="2"/>
              <c:pt idx="0">
                <c:v>2.3427009857611921E-2</c:v>
              </c:pt>
              <c:pt idx="1">
                <c:v>9.5219737856592126E-3</c:v>
              </c:pt>
            </c:numLit>
          </c:yVal>
          <c:smooth val="0"/>
          <c:extLst>
            <c:ext xmlns:c16="http://schemas.microsoft.com/office/drawing/2014/chart" uri="{C3380CC4-5D6E-409C-BE32-E72D297353CC}">
              <c16:uniqueId val="{00000069-4137-4E27-8261-4217D1D72476}"/>
            </c:ext>
          </c:extLst>
        </c:ser>
        <c:ser>
          <c:idx val="88"/>
          <c:order val="88"/>
          <c:tx>
            <c:v>h=76</c:v>
          </c:tx>
          <c:spPr>
            <a:ln w="3175">
              <a:solidFill>
                <a:srgbClr val="808080"/>
              </a:solidFill>
              <a:prstDash val="solid"/>
            </a:ln>
          </c:spPr>
          <c:marker>
            <c:symbol val="none"/>
          </c:marker>
          <c:xVal>
            <c:numLit>
              <c:formatCode>General</c:formatCode>
              <c:ptCount val="2"/>
              <c:pt idx="0">
                <c:v>14.45387242917119</c:v>
              </c:pt>
              <c:pt idx="1">
                <c:v>14.75387242917119</c:v>
              </c:pt>
            </c:numLit>
          </c:xVal>
          <c:yVal>
            <c:numLit>
              <c:formatCode>General</c:formatCode>
              <c:ptCount val="2"/>
              <c:pt idx="0">
                <c:v>2.3692908379434767E-2</c:v>
              </c:pt>
              <c:pt idx="1">
                <c:v>2.3577419837842114E-2</c:v>
              </c:pt>
            </c:numLit>
          </c:yVal>
          <c:smooth val="0"/>
          <c:extLst>
            <c:ext xmlns:c16="http://schemas.microsoft.com/office/drawing/2014/chart" uri="{C3380CC4-5D6E-409C-BE32-E72D297353CC}">
              <c16:uniqueId val="{0000006A-4137-4E27-8261-4217D1D72476}"/>
            </c:ext>
          </c:extLst>
        </c:ser>
        <c:ser>
          <c:idx val="89"/>
          <c:order val="89"/>
          <c:tx>
            <c:v>h=77</c:v>
          </c:tx>
          <c:spPr>
            <a:ln w="3175">
              <a:solidFill>
                <a:srgbClr val="808080"/>
              </a:solidFill>
              <a:prstDash val="solid"/>
            </a:ln>
          </c:spPr>
          <c:marker>
            <c:symbol val="none"/>
          </c:marker>
          <c:xVal>
            <c:numLit>
              <c:formatCode>General</c:formatCode>
              <c:ptCount val="2"/>
              <c:pt idx="0">
                <c:v>14.762281210872525</c:v>
              </c:pt>
              <c:pt idx="1">
                <c:v>15.062281210872523</c:v>
              </c:pt>
            </c:numLit>
          </c:xVal>
          <c:yVal>
            <c:numLit>
              <c:formatCode>General</c:formatCode>
              <c:ptCount val="2"/>
              <c:pt idx="0">
                <c:v>2.3958806901257609E-2</c:v>
              </c:pt>
              <c:pt idx="1">
                <c:v>2.3843319987369743E-2</c:v>
              </c:pt>
            </c:numLit>
          </c:yVal>
          <c:smooth val="0"/>
          <c:extLst>
            <c:ext xmlns:c16="http://schemas.microsoft.com/office/drawing/2014/chart" uri="{C3380CC4-5D6E-409C-BE32-E72D297353CC}">
              <c16:uniqueId val="{0000006B-4137-4E27-8261-4217D1D72476}"/>
            </c:ext>
          </c:extLst>
        </c:ser>
        <c:ser>
          <c:idx val="90"/>
          <c:order val="90"/>
          <c:tx>
            <c:v>h=78</c:v>
          </c:tx>
          <c:spPr>
            <a:ln w="3175">
              <a:solidFill>
                <a:srgbClr val="808080"/>
              </a:solidFill>
              <a:prstDash val="solid"/>
            </a:ln>
          </c:spPr>
          <c:marker>
            <c:symbol val="none"/>
          </c:marker>
          <c:xVal>
            <c:numLit>
              <c:formatCode>General</c:formatCode>
              <c:ptCount val="2"/>
              <c:pt idx="0">
                <c:v>15.070689992573858</c:v>
              </c:pt>
              <c:pt idx="1">
                <c:v>15.370689992573858</c:v>
              </c:pt>
            </c:numLit>
          </c:xVal>
          <c:yVal>
            <c:numLit>
              <c:formatCode>General</c:formatCode>
              <c:ptCount val="2"/>
              <c:pt idx="0">
                <c:v>2.4224705423080455E-2</c:v>
              </c:pt>
              <c:pt idx="1">
                <c:v>2.4109220101120522E-2</c:v>
              </c:pt>
            </c:numLit>
          </c:yVal>
          <c:smooth val="0"/>
          <c:extLst>
            <c:ext xmlns:c16="http://schemas.microsoft.com/office/drawing/2014/chart" uri="{C3380CC4-5D6E-409C-BE32-E72D297353CC}">
              <c16:uniqueId val="{0000006C-4137-4E27-8261-4217D1D72476}"/>
            </c:ext>
          </c:extLst>
        </c:ser>
        <c:ser>
          <c:idx val="91"/>
          <c:order val="91"/>
          <c:tx>
            <c:v>h=79</c:v>
          </c:tx>
          <c:spPr>
            <a:ln w="3175">
              <a:solidFill>
                <a:srgbClr val="808080"/>
              </a:solidFill>
              <a:prstDash val="solid"/>
            </a:ln>
          </c:spPr>
          <c:marker>
            <c:symbol val="none"/>
          </c:marker>
          <c:xVal>
            <c:numLit>
              <c:formatCode>General</c:formatCode>
              <c:ptCount val="2"/>
              <c:pt idx="0">
                <c:v>15.379098774275191</c:v>
              </c:pt>
              <c:pt idx="1">
                <c:v>15.679098774275191</c:v>
              </c:pt>
            </c:numLit>
          </c:xVal>
          <c:yVal>
            <c:numLit>
              <c:formatCode>General</c:formatCode>
              <c:ptCount val="2"/>
              <c:pt idx="0">
                <c:v>2.4490603944903301E-2</c:v>
              </c:pt>
              <c:pt idx="1">
                <c:v>2.4375120180261185E-2</c:v>
              </c:pt>
            </c:numLit>
          </c:yVal>
          <c:smooth val="0"/>
          <c:extLst>
            <c:ext xmlns:c16="http://schemas.microsoft.com/office/drawing/2014/chart" uri="{C3380CC4-5D6E-409C-BE32-E72D297353CC}">
              <c16:uniqueId val="{0000006D-4137-4E27-8261-4217D1D72476}"/>
            </c:ext>
          </c:extLst>
        </c:ser>
        <c:ser>
          <c:idx val="92"/>
          <c:order val="92"/>
          <c:tx>
            <c:v>h=80</c:v>
          </c:tx>
          <c:spPr>
            <a:ln w="3175">
              <a:solidFill>
                <a:srgbClr val="808080"/>
              </a:solidFill>
              <a:prstDash val="solid"/>
            </a:ln>
          </c:spPr>
          <c:marker>
            <c:symbol val="none"/>
          </c:marker>
          <c:dLbls>
            <c:dLbl>
              <c:idx val="0"/>
              <c:layout>
                <c:manualLayout>
                  <c:x val="-3.00874890638670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80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E-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15.687507555976525</c:v>
              </c:pt>
              <c:pt idx="1">
                <c:v>50</c:v>
              </c:pt>
            </c:numLit>
          </c:xVal>
          <c:yVal>
            <c:numLit>
              <c:formatCode>General</c:formatCode>
              <c:ptCount val="2"/>
              <c:pt idx="0">
                <c:v>2.4756502466726144E-2</c:v>
              </c:pt>
              <c:pt idx="1">
                <c:v>1.1449498843484965E-2</c:v>
              </c:pt>
            </c:numLit>
          </c:yVal>
          <c:smooth val="0"/>
          <c:extLst>
            <c:ext xmlns:c16="http://schemas.microsoft.com/office/drawing/2014/chart" uri="{C3380CC4-5D6E-409C-BE32-E72D297353CC}">
              <c16:uniqueId val="{0000006F-4137-4E27-8261-4217D1D72476}"/>
            </c:ext>
          </c:extLst>
        </c:ser>
        <c:ser>
          <c:idx val="93"/>
          <c:order val="93"/>
          <c:tx>
            <c:v>h=81</c:v>
          </c:tx>
          <c:spPr>
            <a:ln w="3175">
              <a:solidFill>
                <a:srgbClr val="808080"/>
              </a:solidFill>
              <a:prstDash val="solid"/>
            </a:ln>
          </c:spPr>
          <c:marker>
            <c:symbol val="none"/>
          </c:marker>
          <c:xVal>
            <c:numLit>
              <c:formatCode>General</c:formatCode>
              <c:ptCount val="2"/>
              <c:pt idx="0">
                <c:v>15.995916337677858</c:v>
              </c:pt>
              <c:pt idx="1">
                <c:v>16.295916337677859</c:v>
              </c:pt>
            </c:numLit>
          </c:xVal>
          <c:yVal>
            <c:numLit>
              <c:formatCode>General</c:formatCode>
              <c:ptCount val="2"/>
              <c:pt idx="0">
                <c:v>2.5022400988548989E-2</c:v>
              </c:pt>
              <c:pt idx="1">
                <c:v>2.4906920239130846E-2</c:v>
              </c:pt>
            </c:numLit>
          </c:yVal>
          <c:smooth val="0"/>
          <c:extLst>
            <c:ext xmlns:c16="http://schemas.microsoft.com/office/drawing/2014/chart" uri="{C3380CC4-5D6E-409C-BE32-E72D297353CC}">
              <c16:uniqueId val="{00000070-4137-4E27-8261-4217D1D72476}"/>
            </c:ext>
          </c:extLst>
        </c:ser>
        <c:ser>
          <c:idx val="94"/>
          <c:order val="94"/>
          <c:tx>
            <c:v>h=82</c:v>
          </c:tx>
          <c:spPr>
            <a:ln w="3175">
              <a:solidFill>
                <a:srgbClr val="808080"/>
              </a:solidFill>
              <a:prstDash val="solid"/>
            </a:ln>
          </c:spPr>
          <c:marker>
            <c:symbol val="none"/>
          </c:marker>
          <c:xVal>
            <c:numLit>
              <c:formatCode>General</c:formatCode>
              <c:ptCount val="2"/>
              <c:pt idx="0">
                <c:v>16.304325119379193</c:v>
              </c:pt>
              <c:pt idx="1">
                <c:v>16.60432511937919</c:v>
              </c:pt>
            </c:numLit>
          </c:xVal>
          <c:yVal>
            <c:numLit>
              <c:formatCode>General</c:formatCode>
              <c:ptCount val="2"/>
              <c:pt idx="0">
                <c:v>2.5288299510371832E-2</c:v>
              </c:pt>
              <c:pt idx="1">
                <c:v>2.5172820220952897E-2</c:v>
              </c:pt>
            </c:numLit>
          </c:yVal>
          <c:smooth val="0"/>
          <c:extLst>
            <c:ext xmlns:c16="http://schemas.microsoft.com/office/drawing/2014/chart" uri="{C3380CC4-5D6E-409C-BE32-E72D297353CC}">
              <c16:uniqueId val="{00000071-4137-4E27-8261-4217D1D72476}"/>
            </c:ext>
          </c:extLst>
        </c:ser>
        <c:ser>
          <c:idx val="95"/>
          <c:order val="95"/>
          <c:tx>
            <c:v>h=83</c:v>
          </c:tx>
          <c:spPr>
            <a:ln w="3175">
              <a:solidFill>
                <a:srgbClr val="808080"/>
              </a:solidFill>
              <a:prstDash val="solid"/>
            </a:ln>
          </c:spPr>
          <c:marker>
            <c:symbol val="none"/>
          </c:marker>
          <c:xVal>
            <c:numLit>
              <c:formatCode>General</c:formatCode>
              <c:ptCount val="2"/>
              <c:pt idx="0">
                <c:v>16.612733901080524</c:v>
              </c:pt>
              <c:pt idx="1">
                <c:v>16.912733901080525</c:v>
              </c:pt>
            </c:numLit>
          </c:xVal>
          <c:yVal>
            <c:numLit>
              <c:formatCode>General</c:formatCode>
              <c:ptCount val="2"/>
              <c:pt idx="0">
                <c:v>2.5554198032194678E-2</c:v>
              </c:pt>
              <c:pt idx="1">
                <c:v>2.5438720172355784E-2</c:v>
              </c:pt>
            </c:numLit>
          </c:yVal>
          <c:smooth val="0"/>
          <c:extLst>
            <c:ext xmlns:c16="http://schemas.microsoft.com/office/drawing/2014/chart" uri="{C3380CC4-5D6E-409C-BE32-E72D297353CC}">
              <c16:uniqueId val="{00000072-4137-4E27-8261-4217D1D72476}"/>
            </c:ext>
          </c:extLst>
        </c:ser>
        <c:ser>
          <c:idx val="96"/>
          <c:order val="96"/>
          <c:tx>
            <c:v>h=84</c:v>
          </c:tx>
          <c:spPr>
            <a:ln w="3175">
              <a:solidFill>
                <a:srgbClr val="808080"/>
              </a:solidFill>
              <a:prstDash val="solid"/>
            </a:ln>
          </c:spPr>
          <c:marker>
            <c:symbol val="none"/>
          </c:marker>
          <c:xVal>
            <c:numLit>
              <c:formatCode>General</c:formatCode>
              <c:ptCount val="2"/>
              <c:pt idx="0">
                <c:v>16.921142682781859</c:v>
              </c:pt>
              <c:pt idx="1">
                <c:v>17.22114268278186</c:v>
              </c:pt>
            </c:numLit>
          </c:xVal>
          <c:yVal>
            <c:numLit>
              <c:formatCode>General</c:formatCode>
              <c:ptCount val="2"/>
              <c:pt idx="0">
                <c:v>2.5820096554017524E-2</c:v>
              </c:pt>
              <c:pt idx="1">
                <c:v>2.570462009428038E-2</c:v>
              </c:pt>
            </c:numLit>
          </c:yVal>
          <c:smooth val="0"/>
          <c:extLst>
            <c:ext xmlns:c16="http://schemas.microsoft.com/office/drawing/2014/chart" uri="{C3380CC4-5D6E-409C-BE32-E72D297353CC}">
              <c16:uniqueId val="{00000073-4137-4E27-8261-4217D1D72476}"/>
            </c:ext>
          </c:extLst>
        </c:ser>
        <c:ser>
          <c:idx val="97"/>
          <c:order val="97"/>
          <c:tx>
            <c:v>h=85</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85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4-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17.229551464483194</c:v>
              </c:pt>
              <c:pt idx="1">
                <c:v>50</c:v>
              </c:pt>
            </c:numLit>
          </c:xVal>
          <c:yVal>
            <c:numLit>
              <c:formatCode>General</c:formatCode>
              <c:ptCount val="2"/>
              <c:pt idx="0">
                <c:v>2.6085995075840366E-2</c:v>
              </c:pt>
              <c:pt idx="1">
                <c:v>1.3377023901310717E-2</c:v>
              </c:pt>
            </c:numLit>
          </c:yVal>
          <c:smooth val="0"/>
          <c:extLst>
            <c:ext xmlns:c16="http://schemas.microsoft.com/office/drawing/2014/chart" uri="{C3380CC4-5D6E-409C-BE32-E72D297353CC}">
              <c16:uniqueId val="{00000075-4137-4E27-8261-4217D1D72476}"/>
            </c:ext>
          </c:extLst>
        </c:ser>
        <c:ser>
          <c:idx val="98"/>
          <c:order val="98"/>
          <c:tx>
            <c:v>h=86</c:v>
          </c:tx>
          <c:spPr>
            <a:ln w="3175">
              <a:solidFill>
                <a:srgbClr val="808080"/>
              </a:solidFill>
              <a:prstDash val="solid"/>
            </a:ln>
          </c:spPr>
          <c:marker>
            <c:symbol val="none"/>
          </c:marker>
          <c:xVal>
            <c:numLit>
              <c:formatCode>General</c:formatCode>
              <c:ptCount val="2"/>
              <c:pt idx="0">
                <c:v>17.537960246184525</c:v>
              </c:pt>
              <c:pt idx="1">
                <c:v>17.837960246184526</c:v>
              </c:pt>
            </c:numLit>
          </c:xVal>
          <c:yVal>
            <c:numLit>
              <c:formatCode>General</c:formatCode>
              <c:ptCount val="2"/>
              <c:pt idx="0">
                <c:v>2.6351893597663212E-2</c:v>
              </c:pt>
              <c:pt idx="1">
                <c:v>2.6236419853268116E-2</c:v>
              </c:pt>
            </c:numLit>
          </c:yVal>
          <c:smooth val="0"/>
          <c:extLst>
            <c:ext xmlns:c16="http://schemas.microsoft.com/office/drawing/2014/chart" uri="{C3380CC4-5D6E-409C-BE32-E72D297353CC}">
              <c16:uniqueId val="{00000076-4137-4E27-8261-4217D1D72476}"/>
            </c:ext>
          </c:extLst>
        </c:ser>
        <c:ser>
          <c:idx val="99"/>
          <c:order val="99"/>
          <c:tx>
            <c:v>h=87</c:v>
          </c:tx>
          <c:spPr>
            <a:ln w="3175">
              <a:solidFill>
                <a:srgbClr val="808080"/>
              </a:solidFill>
              <a:prstDash val="solid"/>
            </a:ln>
          </c:spPr>
          <c:marker>
            <c:symbol val="none"/>
          </c:marker>
          <c:xVal>
            <c:numLit>
              <c:formatCode>General</c:formatCode>
              <c:ptCount val="2"/>
              <c:pt idx="0">
                <c:v>17.84636902788586</c:v>
              </c:pt>
              <c:pt idx="1">
                <c:v>18.146369027885861</c:v>
              </c:pt>
            </c:numLit>
          </c:xVal>
          <c:yVal>
            <c:numLit>
              <c:formatCode>General</c:formatCode>
              <c:ptCount val="2"/>
              <c:pt idx="0">
                <c:v>2.6617792119486054E-2</c:v>
              </c:pt>
              <c:pt idx="1">
                <c:v>2.6502319692028618E-2</c:v>
              </c:pt>
            </c:numLit>
          </c:yVal>
          <c:smooth val="0"/>
          <c:extLst>
            <c:ext xmlns:c16="http://schemas.microsoft.com/office/drawing/2014/chart" uri="{C3380CC4-5D6E-409C-BE32-E72D297353CC}">
              <c16:uniqueId val="{00000077-4137-4E27-8261-4217D1D72476}"/>
            </c:ext>
          </c:extLst>
        </c:ser>
        <c:ser>
          <c:idx val="100"/>
          <c:order val="100"/>
          <c:tx>
            <c:v>h=88</c:v>
          </c:tx>
          <c:spPr>
            <a:ln w="3175">
              <a:solidFill>
                <a:srgbClr val="808080"/>
              </a:solidFill>
              <a:prstDash val="solid"/>
            </a:ln>
          </c:spPr>
          <c:marker>
            <c:symbol val="none"/>
          </c:marker>
          <c:xVal>
            <c:numLit>
              <c:formatCode>General</c:formatCode>
              <c:ptCount val="2"/>
              <c:pt idx="0">
                <c:v>18.154777809587195</c:v>
              </c:pt>
              <c:pt idx="1">
                <c:v>18.454777809587192</c:v>
              </c:pt>
            </c:numLit>
          </c:xVal>
          <c:yVal>
            <c:numLit>
              <c:formatCode>General</c:formatCode>
              <c:ptCount val="2"/>
              <c:pt idx="0">
                <c:v>2.68836906413089E-2</c:v>
              </c:pt>
              <c:pt idx="1">
                <c:v>2.6768219504709097E-2</c:v>
              </c:pt>
            </c:numLit>
          </c:yVal>
          <c:smooth val="0"/>
          <c:extLst>
            <c:ext xmlns:c16="http://schemas.microsoft.com/office/drawing/2014/chart" uri="{C3380CC4-5D6E-409C-BE32-E72D297353CC}">
              <c16:uniqueId val="{00000078-4137-4E27-8261-4217D1D72476}"/>
            </c:ext>
          </c:extLst>
        </c:ser>
        <c:ser>
          <c:idx val="101"/>
          <c:order val="101"/>
          <c:tx>
            <c:v>h=89</c:v>
          </c:tx>
          <c:spPr>
            <a:ln w="3175">
              <a:solidFill>
                <a:srgbClr val="808080"/>
              </a:solidFill>
              <a:prstDash val="solid"/>
            </a:ln>
          </c:spPr>
          <c:marker>
            <c:symbol val="none"/>
          </c:marker>
          <c:xVal>
            <c:numLit>
              <c:formatCode>General</c:formatCode>
              <c:ptCount val="2"/>
              <c:pt idx="0">
                <c:v>18.463186591288526</c:v>
              </c:pt>
              <c:pt idx="1">
                <c:v>18.763186591288527</c:v>
              </c:pt>
            </c:numLit>
          </c:xVal>
          <c:yVal>
            <c:numLit>
              <c:formatCode>General</c:formatCode>
              <c:ptCount val="2"/>
              <c:pt idx="0">
                <c:v>2.7149589163131743E-2</c:v>
              </c:pt>
              <c:pt idx="1">
                <c:v>2.7034119292076671E-2</c:v>
              </c:pt>
            </c:numLit>
          </c:yVal>
          <c:smooth val="0"/>
          <c:extLst>
            <c:ext xmlns:c16="http://schemas.microsoft.com/office/drawing/2014/chart" uri="{C3380CC4-5D6E-409C-BE32-E72D297353CC}">
              <c16:uniqueId val="{00000079-4137-4E27-8261-4217D1D72476}"/>
            </c:ext>
          </c:extLst>
        </c:ser>
        <c:ser>
          <c:idx val="102"/>
          <c:order val="102"/>
          <c:tx>
            <c:v>h=90</c:v>
          </c:tx>
          <c:spPr>
            <a:ln w="3175">
              <a:solidFill>
                <a:srgbClr val="808080"/>
              </a:solidFill>
              <a:prstDash val="solid"/>
            </a:ln>
          </c:spPr>
          <c:marker>
            <c:symbol val="none"/>
          </c:marker>
          <c:dLbls>
            <c:dLbl>
              <c:idx val="0"/>
              <c:layout>
                <c:manualLayout>
                  <c:x val="-3.0087489063867018E-2"/>
                  <c:y val="-9.347701729591493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90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A-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18.771595372989861</c:v>
              </c:pt>
              <c:pt idx="1">
                <c:v>50</c:v>
              </c:pt>
            </c:numLit>
          </c:xVal>
          <c:yVal>
            <c:numLit>
              <c:formatCode>General</c:formatCode>
              <c:ptCount val="2"/>
              <c:pt idx="0">
                <c:v>2.7415487684954588E-2</c:v>
              </c:pt>
              <c:pt idx="1">
                <c:v>1.5304548959136469E-2</c:v>
              </c:pt>
            </c:numLit>
          </c:yVal>
          <c:smooth val="0"/>
          <c:extLst>
            <c:ext xmlns:c16="http://schemas.microsoft.com/office/drawing/2014/chart" uri="{C3380CC4-5D6E-409C-BE32-E72D297353CC}">
              <c16:uniqueId val="{0000007B-4137-4E27-8261-4217D1D72476}"/>
            </c:ext>
          </c:extLst>
        </c:ser>
        <c:ser>
          <c:idx val="103"/>
          <c:order val="103"/>
          <c:tx>
            <c:v>h=91</c:v>
          </c:tx>
          <c:spPr>
            <a:ln w="3175">
              <a:solidFill>
                <a:srgbClr val="808080"/>
              </a:solidFill>
              <a:prstDash val="solid"/>
            </a:ln>
          </c:spPr>
          <c:marker>
            <c:symbol val="none"/>
          </c:marker>
          <c:xVal>
            <c:numLit>
              <c:formatCode>General</c:formatCode>
              <c:ptCount val="2"/>
              <c:pt idx="0">
                <c:v>19.080004154691196</c:v>
              </c:pt>
              <c:pt idx="1">
                <c:v>19.380004154691193</c:v>
              </c:pt>
            </c:numLit>
          </c:xVal>
          <c:yVal>
            <c:numLit>
              <c:formatCode>General</c:formatCode>
              <c:ptCount val="2"/>
              <c:pt idx="0">
                <c:v>2.7681386206777434E-2</c:v>
              </c:pt>
              <c:pt idx="1">
                <c:v>2.7565918793794053E-2</c:v>
              </c:pt>
            </c:numLit>
          </c:yVal>
          <c:smooth val="0"/>
          <c:extLst>
            <c:ext xmlns:c16="http://schemas.microsoft.com/office/drawing/2014/chart" uri="{C3380CC4-5D6E-409C-BE32-E72D297353CC}">
              <c16:uniqueId val="{0000007C-4137-4E27-8261-4217D1D72476}"/>
            </c:ext>
          </c:extLst>
        </c:ser>
        <c:ser>
          <c:idx val="104"/>
          <c:order val="104"/>
          <c:tx>
            <c:v>h=92</c:v>
          </c:tx>
          <c:spPr>
            <a:ln w="3175">
              <a:solidFill>
                <a:srgbClr val="808080"/>
              </a:solidFill>
              <a:prstDash val="solid"/>
            </a:ln>
          </c:spPr>
          <c:marker>
            <c:symbol val="none"/>
          </c:marker>
          <c:xVal>
            <c:numLit>
              <c:formatCode>General</c:formatCode>
              <c:ptCount val="2"/>
              <c:pt idx="0">
                <c:v>19.388412936392527</c:v>
              </c:pt>
              <c:pt idx="1">
                <c:v>19.688412936392528</c:v>
              </c:pt>
            </c:numLit>
          </c:xVal>
          <c:yVal>
            <c:numLit>
              <c:formatCode>General</c:formatCode>
              <c:ptCount val="2"/>
              <c:pt idx="0">
                <c:v>2.7947284728600277E-2</c:v>
              </c:pt>
              <c:pt idx="1">
                <c:v>2.7831818509534777E-2</c:v>
              </c:pt>
            </c:numLit>
          </c:yVal>
          <c:smooth val="0"/>
          <c:extLst>
            <c:ext xmlns:c16="http://schemas.microsoft.com/office/drawing/2014/chart" uri="{C3380CC4-5D6E-409C-BE32-E72D297353CC}">
              <c16:uniqueId val="{0000007D-4137-4E27-8261-4217D1D72476}"/>
            </c:ext>
          </c:extLst>
        </c:ser>
        <c:ser>
          <c:idx val="105"/>
          <c:order val="105"/>
          <c:tx>
            <c:v>h=93</c:v>
          </c:tx>
          <c:spPr>
            <a:ln w="3175">
              <a:solidFill>
                <a:srgbClr val="808080"/>
              </a:solidFill>
              <a:prstDash val="solid"/>
            </a:ln>
          </c:spPr>
          <c:marker>
            <c:symbol val="none"/>
          </c:marker>
          <c:xVal>
            <c:numLit>
              <c:formatCode>General</c:formatCode>
              <c:ptCount val="2"/>
              <c:pt idx="0">
                <c:v>19.696821718093862</c:v>
              </c:pt>
              <c:pt idx="1">
                <c:v>19.996821718093862</c:v>
              </c:pt>
            </c:numLit>
          </c:xVal>
          <c:yVal>
            <c:numLit>
              <c:formatCode>General</c:formatCode>
              <c:ptCount val="2"/>
              <c:pt idx="0">
                <c:v>2.8213183250423123E-2</c:v>
              </c:pt>
              <c:pt idx="1">
                <c:v>2.8097718202747063E-2</c:v>
              </c:pt>
            </c:numLit>
          </c:yVal>
          <c:smooth val="0"/>
          <c:extLst>
            <c:ext xmlns:c16="http://schemas.microsoft.com/office/drawing/2014/chart" uri="{C3380CC4-5D6E-409C-BE32-E72D297353CC}">
              <c16:uniqueId val="{0000007E-4137-4E27-8261-4217D1D72476}"/>
            </c:ext>
          </c:extLst>
        </c:ser>
        <c:ser>
          <c:idx val="106"/>
          <c:order val="106"/>
          <c:tx>
            <c:v>h=94</c:v>
          </c:tx>
          <c:spPr>
            <a:ln w="3175">
              <a:solidFill>
                <a:srgbClr val="808080"/>
              </a:solidFill>
              <a:prstDash val="solid"/>
            </a:ln>
          </c:spPr>
          <c:marker>
            <c:symbol val="none"/>
          </c:marker>
          <c:xVal>
            <c:numLit>
              <c:formatCode>General</c:formatCode>
              <c:ptCount val="2"/>
              <c:pt idx="0">
                <c:v>20.005230499795196</c:v>
              </c:pt>
              <c:pt idx="1">
                <c:v>20.305230499795194</c:v>
              </c:pt>
            </c:numLit>
          </c:xVal>
          <c:yVal>
            <c:numLit>
              <c:formatCode>General</c:formatCode>
              <c:ptCount val="2"/>
              <c:pt idx="0">
                <c:v>2.8479081772245965E-2</c:v>
              </c:pt>
              <c:pt idx="1">
                <c:v>2.8363617874062594E-2</c:v>
              </c:pt>
            </c:numLit>
          </c:yVal>
          <c:smooth val="0"/>
          <c:extLst>
            <c:ext xmlns:c16="http://schemas.microsoft.com/office/drawing/2014/chart" uri="{C3380CC4-5D6E-409C-BE32-E72D297353CC}">
              <c16:uniqueId val="{0000007F-4137-4E27-8261-4217D1D72476}"/>
            </c:ext>
          </c:extLst>
        </c:ser>
        <c:ser>
          <c:idx val="107"/>
          <c:order val="107"/>
          <c:tx>
            <c:v>h=95</c:v>
          </c:tx>
          <c:spPr>
            <a:ln w="3175">
              <a:solidFill>
                <a:srgbClr val="808080"/>
              </a:solidFill>
              <a:prstDash val="solid"/>
            </a:ln>
          </c:spPr>
          <c:marker>
            <c:symbol val="none"/>
          </c:marker>
          <c:dLbls>
            <c:dLbl>
              <c:idx val="0"/>
              <c:layout>
                <c:manualLayout>
                  <c:x val="-3.0087489063867018E-2"/>
                  <c:y val="-9.3477017295915121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95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0-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20.313639281496528</c:v>
              </c:pt>
              <c:pt idx="1">
                <c:v>50</c:v>
              </c:pt>
            </c:numLit>
          </c:xVal>
          <c:yVal>
            <c:numLit>
              <c:formatCode>General</c:formatCode>
              <c:ptCount val="2"/>
              <c:pt idx="0">
                <c:v>2.8744980294068811E-2</c:v>
              </c:pt>
              <c:pt idx="1">
                <c:v>1.723207401696222E-2</c:v>
              </c:pt>
            </c:numLit>
          </c:yVal>
          <c:smooth val="0"/>
          <c:extLst>
            <c:ext xmlns:c16="http://schemas.microsoft.com/office/drawing/2014/chart" uri="{C3380CC4-5D6E-409C-BE32-E72D297353CC}">
              <c16:uniqueId val="{00000081-4137-4E27-8261-4217D1D72476}"/>
            </c:ext>
          </c:extLst>
        </c:ser>
        <c:ser>
          <c:idx val="108"/>
          <c:order val="108"/>
          <c:tx>
            <c:v>h=96</c:v>
          </c:tx>
          <c:spPr>
            <a:ln w="3175">
              <a:solidFill>
                <a:srgbClr val="808080"/>
              </a:solidFill>
              <a:prstDash val="solid"/>
            </a:ln>
          </c:spPr>
          <c:marker>
            <c:symbol val="none"/>
          </c:marker>
          <c:xVal>
            <c:numLit>
              <c:formatCode>General</c:formatCode>
              <c:ptCount val="2"/>
              <c:pt idx="0">
                <c:v>20.622048063197862</c:v>
              </c:pt>
              <c:pt idx="1">
                <c:v>20.922048063197863</c:v>
              </c:pt>
            </c:numLit>
          </c:xVal>
          <c:yVal>
            <c:numLit>
              <c:formatCode>General</c:formatCode>
              <c:ptCount val="2"/>
              <c:pt idx="0">
                <c:v>2.9010878815891653E-2</c:v>
              </c:pt>
              <c:pt idx="1">
                <c:v>2.8895417153414215E-2</c:v>
              </c:pt>
            </c:numLit>
          </c:yVal>
          <c:smooth val="0"/>
          <c:extLst>
            <c:ext xmlns:c16="http://schemas.microsoft.com/office/drawing/2014/chart" uri="{C3380CC4-5D6E-409C-BE32-E72D297353CC}">
              <c16:uniqueId val="{00000082-4137-4E27-8261-4217D1D72476}"/>
            </c:ext>
          </c:extLst>
        </c:ser>
        <c:ser>
          <c:idx val="109"/>
          <c:order val="109"/>
          <c:tx>
            <c:v>h=97</c:v>
          </c:tx>
          <c:spPr>
            <a:ln w="3175">
              <a:solidFill>
                <a:srgbClr val="808080"/>
              </a:solidFill>
              <a:prstDash val="solid"/>
            </a:ln>
          </c:spPr>
          <c:marker>
            <c:symbol val="none"/>
          </c:marker>
          <c:xVal>
            <c:numLit>
              <c:formatCode>General</c:formatCode>
              <c:ptCount val="2"/>
              <c:pt idx="0">
                <c:v>20.930456844899197</c:v>
              </c:pt>
              <c:pt idx="1">
                <c:v>21.230456844899194</c:v>
              </c:pt>
            </c:numLit>
          </c:xVal>
          <c:yVal>
            <c:numLit>
              <c:formatCode>General</c:formatCode>
              <c:ptCount val="2"/>
              <c:pt idx="0">
                <c:v>2.9276777337714499E-2</c:v>
              </c:pt>
              <c:pt idx="1">
                <c:v>2.916131676260093E-2</c:v>
              </c:pt>
            </c:numLit>
          </c:yVal>
          <c:smooth val="0"/>
          <c:extLst>
            <c:ext xmlns:c16="http://schemas.microsoft.com/office/drawing/2014/chart" uri="{C3380CC4-5D6E-409C-BE32-E72D297353CC}">
              <c16:uniqueId val="{00000083-4137-4E27-8261-4217D1D72476}"/>
            </c:ext>
          </c:extLst>
        </c:ser>
        <c:ser>
          <c:idx val="110"/>
          <c:order val="110"/>
          <c:tx>
            <c:v>h=98</c:v>
          </c:tx>
          <c:spPr>
            <a:ln w="3175">
              <a:solidFill>
                <a:srgbClr val="808080"/>
              </a:solidFill>
              <a:prstDash val="solid"/>
            </a:ln>
          </c:spPr>
          <c:marker>
            <c:symbol val="none"/>
          </c:marker>
          <c:xVal>
            <c:numLit>
              <c:formatCode>General</c:formatCode>
              <c:ptCount val="2"/>
              <c:pt idx="0">
                <c:v>21.238865626600528</c:v>
              </c:pt>
              <c:pt idx="1">
                <c:v>21.538865626600529</c:v>
              </c:pt>
            </c:numLit>
          </c:xVal>
          <c:yVal>
            <c:numLit>
              <c:formatCode>General</c:formatCode>
              <c:ptCount val="2"/>
              <c:pt idx="0">
                <c:v>2.9542675859537345E-2</c:v>
              </c:pt>
              <c:pt idx="1">
                <c:v>2.9427216352194103E-2</c:v>
              </c:pt>
            </c:numLit>
          </c:yVal>
          <c:smooth val="0"/>
          <c:extLst>
            <c:ext xmlns:c16="http://schemas.microsoft.com/office/drawing/2014/chart" uri="{C3380CC4-5D6E-409C-BE32-E72D297353CC}">
              <c16:uniqueId val="{00000084-4137-4E27-8261-4217D1D72476}"/>
            </c:ext>
          </c:extLst>
        </c:ser>
        <c:ser>
          <c:idx val="111"/>
          <c:order val="111"/>
          <c:tx>
            <c:v>h=99</c:v>
          </c:tx>
          <c:spPr>
            <a:ln w="3175">
              <a:solidFill>
                <a:srgbClr val="808080"/>
              </a:solidFill>
              <a:prstDash val="solid"/>
            </a:ln>
          </c:spPr>
          <c:marker>
            <c:symbol val="none"/>
          </c:marker>
          <c:xVal>
            <c:numLit>
              <c:formatCode>General</c:formatCode>
              <c:ptCount val="2"/>
              <c:pt idx="0">
                <c:v>21.547274408301863</c:v>
              </c:pt>
              <c:pt idx="1">
                <c:v>21.847274408301864</c:v>
              </c:pt>
            </c:numLit>
          </c:xVal>
          <c:yVal>
            <c:numLit>
              <c:formatCode>General</c:formatCode>
              <c:ptCount val="2"/>
              <c:pt idx="0">
                <c:v>2.9808574381360187E-2</c:v>
              </c:pt>
              <c:pt idx="1">
                <c:v>2.9693115922718592E-2</c:v>
              </c:pt>
            </c:numLit>
          </c:yVal>
          <c:smooth val="0"/>
          <c:extLst>
            <c:ext xmlns:c16="http://schemas.microsoft.com/office/drawing/2014/chart" uri="{C3380CC4-5D6E-409C-BE32-E72D297353CC}">
              <c16:uniqueId val="{00000085-4137-4E27-8261-4217D1D72476}"/>
            </c:ext>
          </c:extLst>
        </c:ser>
        <c:ser>
          <c:idx val="112"/>
          <c:order val="112"/>
          <c:tx>
            <c:v>h=100</c:v>
          </c:tx>
          <c:spPr>
            <a:ln w="3175">
              <a:solidFill>
                <a:srgbClr val="808080"/>
              </a:solidFill>
              <a:prstDash val="solid"/>
            </a:ln>
          </c:spPr>
          <c:marker>
            <c:symbol val="none"/>
          </c:marker>
          <c:dLbls>
            <c:dLbl>
              <c:idx val="0"/>
              <c:layout>
                <c:manualLayout>
                  <c:x val="-3.2080736001749779E-2"/>
                  <c:y val="-1.2169728783902031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6-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21.855683190003198</c:v>
              </c:pt>
              <c:pt idx="1">
                <c:v>49.999999999999993</c:v>
              </c:pt>
            </c:numLit>
          </c:xVal>
          <c:yVal>
            <c:numLit>
              <c:formatCode>General</c:formatCode>
              <c:ptCount val="2"/>
              <c:pt idx="0">
                <c:v>3.0074472903183033E-2</c:v>
              </c:pt>
              <c:pt idx="1">
                <c:v>1.9159599074787974E-2</c:v>
              </c:pt>
            </c:numLit>
          </c:yVal>
          <c:smooth val="0"/>
          <c:extLst>
            <c:ext xmlns:c16="http://schemas.microsoft.com/office/drawing/2014/chart" uri="{C3380CC4-5D6E-409C-BE32-E72D297353CC}">
              <c16:uniqueId val="{00000087-4137-4E27-8261-4217D1D72476}"/>
            </c:ext>
          </c:extLst>
        </c:ser>
        <c:ser>
          <c:idx val="113"/>
          <c:order val="113"/>
          <c:tx>
            <c:v>h=101</c:v>
          </c:tx>
          <c:spPr>
            <a:ln w="3175">
              <a:solidFill>
                <a:srgbClr val="808080"/>
              </a:solidFill>
              <a:prstDash val="solid"/>
            </a:ln>
          </c:spPr>
          <c:marker>
            <c:symbol val="none"/>
          </c:marker>
          <c:xVal>
            <c:numLit>
              <c:formatCode>General</c:formatCode>
              <c:ptCount val="2"/>
              <c:pt idx="0">
                <c:v>22.164091971704529</c:v>
              </c:pt>
              <c:pt idx="1">
                <c:v>22.46409197170453</c:v>
              </c:pt>
            </c:numLit>
          </c:xVal>
          <c:yVal>
            <c:numLit>
              <c:formatCode>General</c:formatCode>
              <c:ptCount val="2"/>
              <c:pt idx="0">
                <c:v>3.0340371425005876E-2</c:v>
              </c:pt>
              <c:pt idx="1">
                <c:v>3.0224915008568904E-2</c:v>
              </c:pt>
            </c:numLit>
          </c:yVal>
          <c:smooth val="0"/>
          <c:extLst>
            <c:ext xmlns:c16="http://schemas.microsoft.com/office/drawing/2014/chart" uri="{C3380CC4-5D6E-409C-BE32-E72D297353CC}">
              <c16:uniqueId val="{00000088-4137-4E27-8261-4217D1D72476}"/>
            </c:ext>
          </c:extLst>
        </c:ser>
        <c:ser>
          <c:idx val="114"/>
          <c:order val="114"/>
          <c:tx>
            <c:v>h=102</c:v>
          </c:tx>
          <c:spPr>
            <a:ln w="3175">
              <a:solidFill>
                <a:srgbClr val="808080"/>
              </a:solidFill>
              <a:prstDash val="solid"/>
            </a:ln>
          </c:spPr>
          <c:marker>
            <c:symbol val="none"/>
          </c:marker>
          <c:xVal>
            <c:numLit>
              <c:formatCode>General</c:formatCode>
              <c:ptCount val="2"/>
              <c:pt idx="0">
                <c:v>22.472500753405864</c:v>
              </c:pt>
              <c:pt idx="1">
                <c:v>22.772500753405865</c:v>
              </c:pt>
            </c:numLit>
          </c:xVal>
          <c:yVal>
            <c:numLit>
              <c:formatCode>General</c:formatCode>
              <c:ptCount val="2"/>
              <c:pt idx="0">
                <c:v>3.0606269946828722E-2</c:v>
              </c:pt>
              <c:pt idx="1">
                <c:v>3.0490814524854769E-2</c:v>
              </c:pt>
            </c:numLit>
          </c:yVal>
          <c:smooth val="0"/>
          <c:extLst>
            <c:ext xmlns:c16="http://schemas.microsoft.com/office/drawing/2014/chart" uri="{C3380CC4-5D6E-409C-BE32-E72D297353CC}">
              <c16:uniqueId val="{00000089-4137-4E27-8261-4217D1D72476}"/>
            </c:ext>
          </c:extLst>
        </c:ser>
        <c:ser>
          <c:idx val="115"/>
          <c:order val="115"/>
          <c:tx>
            <c:v>h=103</c:v>
          </c:tx>
          <c:spPr>
            <a:ln w="3175">
              <a:solidFill>
                <a:srgbClr val="808080"/>
              </a:solidFill>
              <a:prstDash val="solid"/>
            </a:ln>
          </c:spPr>
          <c:marker>
            <c:symbol val="none"/>
          </c:marker>
          <c:xVal>
            <c:numLit>
              <c:formatCode>General</c:formatCode>
              <c:ptCount val="2"/>
              <c:pt idx="0">
                <c:v>22.780909535107199</c:v>
              </c:pt>
              <c:pt idx="1">
                <c:v>23.080909535107196</c:v>
              </c:pt>
            </c:numLit>
          </c:xVal>
          <c:yVal>
            <c:numLit>
              <c:formatCode>General</c:formatCode>
              <c:ptCount val="2"/>
              <c:pt idx="0">
                <c:v>3.0872168468651567E-2</c:v>
              </c:pt>
              <c:pt idx="1">
                <c:v>3.0756714023993551E-2</c:v>
              </c:pt>
            </c:numLit>
          </c:yVal>
          <c:smooth val="0"/>
          <c:extLst>
            <c:ext xmlns:c16="http://schemas.microsoft.com/office/drawing/2014/chart" uri="{C3380CC4-5D6E-409C-BE32-E72D297353CC}">
              <c16:uniqueId val="{0000008A-4137-4E27-8261-4217D1D72476}"/>
            </c:ext>
          </c:extLst>
        </c:ser>
        <c:ser>
          <c:idx val="116"/>
          <c:order val="116"/>
          <c:tx>
            <c:v>h=104</c:v>
          </c:tx>
          <c:spPr>
            <a:ln w="3175">
              <a:solidFill>
                <a:srgbClr val="808080"/>
              </a:solidFill>
              <a:prstDash val="solid"/>
            </a:ln>
          </c:spPr>
          <c:marker>
            <c:symbol val="none"/>
          </c:marker>
          <c:xVal>
            <c:numLit>
              <c:formatCode>General</c:formatCode>
              <c:ptCount val="2"/>
              <c:pt idx="0">
                <c:v>23.08931831680853</c:v>
              </c:pt>
              <c:pt idx="1">
                <c:v>23.389318316808531</c:v>
              </c:pt>
            </c:numLit>
          </c:xVal>
          <c:yVal>
            <c:numLit>
              <c:formatCode>General</c:formatCode>
              <c:ptCount val="2"/>
              <c:pt idx="0">
                <c:v>3.113806699047441E-2</c:v>
              </c:pt>
              <c:pt idx="1">
                <c:v>3.1022613506424938E-2</c:v>
              </c:pt>
            </c:numLit>
          </c:yVal>
          <c:smooth val="0"/>
          <c:extLst>
            <c:ext xmlns:c16="http://schemas.microsoft.com/office/drawing/2014/chart" uri="{C3380CC4-5D6E-409C-BE32-E72D297353CC}">
              <c16:uniqueId val="{0000008B-4137-4E27-8261-4217D1D72476}"/>
            </c:ext>
          </c:extLst>
        </c:ser>
        <c:ser>
          <c:idx val="117"/>
          <c:order val="117"/>
          <c:tx>
            <c:v>h=105</c:v>
          </c:tx>
          <c:spPr>
            <a:ln w="3175">
              <a:solidFill>
                <a:srgbClr val="808080"/>
              </a:solidFill>
              <a:prstDash val="solid"/>
            </a:ln>
          </c:spPr>
          <c:marker>
            <c:symbol val="none"/>
          </c:marker>
          <c:dLbls>
            <c:dLbl>
              <c:idx val="0"/>
              <c:layout>
                <c:manualLayout>
                  <c:x val="-3.2080736001749842E-2"/>
                  <c:y val="-1.2169728783902012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105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C-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23.397727098509865</c:v>
              </c:pt>
              <c:pt idx="1">
                <c:v>50</c:v>
              </c:pt>
            </c:numLit>
          </c:xVal>
          <c:yVal>
            <c:numLit>
              <c:formatCode>General</c:formatCode>
              <c:ptCount val="2"/>
              <c:pt idx="0">
                <c:v>3.1403965512297252E-2</c:v>
              </c:pt>
              <c:pt idx="1">
                <c:v>2.1087124132613724E-2</c:v>
              </c:pt>
            </c:numLit>
          </c:yVal>
          <c:smooth val="0"/>
          <c:extLst>
            <c:ext xmlns:c16="http://schemas.microsoft.com/office/drawing/2014/chart" uri="{C3380CC4-5D6E-409C-BE32-E72D297353CC}">
              <c16:uniqueId val="{0000008D-4137-4E27-8261-4217D1D72476}"/>
            </c:ext>
          </c:extLst>
        </c:ser>
        <c:ser>
          <c:idx val="118"/>
          <c:order val="118"/>
          <c:tx>
            <c:v>h=106</c:v>
          </c:tx>
          <c:spPr>
            <a:ln w="3175">
              <a:solidFill>
                <a:srgbClr val="808080"/>
              </a:solidFill>
              <a:prstDash val="solid"/>
            </a:ln>
          </c:spPr>
          <c:marker>
            <c:symbol val="none"/>
          </c:marker>
          <c:xVal>
            <c:numLit>
              <c:formatCode>General</c:formatCode>
              <c:ptCount val="2"/>
              <c:pt idx="0">
                <c:v>23.7061358802112</c:v>
              </c:pt>
              <c:pt idx="1">
                <c:v>24.006135880211197</c:v>
              </c:pt>
            </c:numLit>
          </c:xVal>
          <c:yVal>
            <c:numLit>
              <c:formatCode>General</c:formatCode>
              <c:ptCount val="2"/>
              <c:pt idx="0">
                <c:v>3.1669864034120102E-2</c:v>
              </c:pt>
              <c:pt idx="1">
                <c:v>3.1554412422850439E-2</c:v>
              </c:pt>
            </c:numLit>
          </c:yVal>
          <c:smooth val="0"/>
          <c:extLst>
            <c:ext xmlns:c16="http://schemas.microsoft.com/office/drawing/2014/chart" uri="{C3380CC4-5D6E-409C-BE32-E72D297353CC}">
              <c16:uniqueId val="{0000008E-4137-4E27-8261-4217D1D72476}"/>
            </c:ext>
          </c:extLst>
        </c:ser>
        <c:ser>
          <c:idx val="119"/>
          <c:order val="119"/>
          <c:tx>
            <c:v>h=107</c:v>
          </c:tx>
          <c:spPr>
            <a:ln w="3175">
              <a:solidFill>
                <a:srgbClr val="808080"/>
              </a:solidFill>
              <a:prstDash val="solid"/>
            </a:ln>
          </c:spPr>
          <c:marker>
            <c:symbol val="none"/>
          </c:marker>
          <c:xVal>
            <c:numLit>
              <c:formatCode>General</c:formatCode>
              <c:ptCount val="2"/>
              <c:pt idx="0">
                <c:v>24.014544661912531</c:v>
              </c:pt>
              <c:pt idx="1">
                <c:v>24.314544661912532</c:v>
              </c:pt>
            </c:numLit>
          </c:xVal>
          <c:yVal>
            <c:numLit>
              <c:formatCode>General</c:formatCode>
              <c:ptCount val="2"/>
              <c:pt idx="0">
                <c:v>3.1935762555942944E-2</c:v>
              </c:pt>
              <c:pt idx="1">
                <c:v>3.1820311857651898E-2</c:v>
              </c:pt>
            </c:numLit>
          </c:yVal>
          <c:smooth val="0"/>
          <c:extLst>
            <c:ext xmlns:c16="http://schemas.microsoft.com/office/drawing/2014/chart" uri="{C3380CC4-5D6E-409C-BE32-E72D297353CC}">
              <c16:uniqueId val="{0000008F-4137-4E27-8261-4217D1D72476}"/>
            </c:ext>
          </c:extLst>
        </c:ser>
        <c:ser>
          <c:idx val="120"/>
          <c:order val="120"/>
          <c:tx>
            <c:v>h=108</c:v>
          </c:tx>
          <c:spPr>
            <a:ln w="3175">
              <a:solidFill>
                <a:srgbClr val="808080"/>
              </a:solidFill>
              <a:prstDash val="solid"/>
            </a:ln>
          </c:spPr>
          <c:marker>
            <c:symbol val="none"/>
          </c:marker>
          <c:xVal>
            <c:numLit>
              <c:formatCode>General</c:formatCode>
              <c:ptCount val="2"/>
              <c:pt idx="0">
                <c:v>24.322953443613866</c:v>
              </c:pt>
              <c:pt idx="1">
                <c:v>24.622953443613866</c:v>
              </c:pt>
            </c:numLit>
          </c:xVal>
          <c:yVal>
            <c:numLit>
              <c:formatCode>General</c:formatCode>
              <c:ptCount val="2"/>
              <c:pt idx="0">
                <c:v>3.2201661077765786E-2</c:v>
              </c:pt>
              <c:pt idx="1">
                <c:v>3.2086211277361804E-2</c:v>
              </c:pt>
            </c:numLit>
          </c:yVal>
          <c:smooth val="0"/>
          <c:extLst>
            <c:ext xmlns:c16="http://schemas.microsoft.com/office/drawing/2014/chart" uri="{C3380CC4-5D6E-409C-BE32-E72D297353CC}">
              <c16:uniqueId val="{00000090-4137-4E27-8261-4217D1D72476}"/>
            </c:ext>
          </c:extLst>
        </c:ser>
        <c:ser>
          <c:idx val="121"/>
          <c:order val="121"/>
          <c:tx>
            <c:v>h=109</c:v>
          </c:tx>
          <c:spPr>
            <a:ln w="3175">
              <a:solidFill>
                <a:srgbClr val="808080"/>
              </a:solidFill>
              <a:prstDash val="solid"/>
            </a:ln>
          </c:spPr>
          <c:marker>
            <c:symbol val="none"/>
          </c:marker>
          <c:xVal>
            <c:numLit>
              <c:formatCode>General</c:formatCode>
              <c:ptCount val="2"/>
              <c:pt idx="0">
                <c:v>24.6313622253152</c:v>
              </c:pt>
              <c:pt idx="1">
                <c:v>24.931362225315198</c:v>
              </c:pt>
            </c:numLit>
          </c:xVal>
          <c:yVal>
            <c:numLit>
              <c:formatCode>General</c:formatCode>
              <c:ptCount val="2"/>
              <c:pt idx="0">
                <c:v>3.2467559599588636E-2</c:v>
              </c:pt>
              <c:pt idx="1">
                <c:v>3.2352110682351297E-2</c:v>
              </c:pt>
            </c:numLit>
          </c:yVal>
          <c:smooth val="0"/>
          <c:extLst>
            <c:ext xmlns:c16="http://schemas.microsoft.com/office/drawing/2014/chart" uri="{C3380CC4-5D6E-409C-BE32-E72D297353CC}">
              <c16:uniqueId val="{00000091-4137-4E27-8261-4217D1D72476}"/>
            </c:ext>
          </c:extLst>
        </c:ser>
        <c:ser>
          <c:idx val="122"/>
          <c:order val="122"/>
          <c:tx>
            <c:v>h=110</c:v>
          </c:tx>
          <c:spPr>
            <a:ln w="3175">
              <a:solidFill>
                <a:srgbClr val="808080"/>
              </a:solidFill>
              <a:prstDash val="solid"/>
            </a:ln>
          </c:spPr>
          <c:marker>
            <c:symbol val="none"/>
          </c:marker>
          <c:dLbls>
            <c:dLbl>
              <c:idx val="0"/>
              <c:layout>
                <c:manualLayout>
                  <c:x val="-3.2080736001749842E-2"/>
                  <c:y val="-1.2169728783902012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110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2-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24.939771007016532</c:v>
              </c:pt>
              <c:pt idx="1">
                <c:v>50</c:v>
              </c:pt>
            </c:numLit>
          </c:xVal>
          <c:yVal>
            <c:numLit>
              <c:formatCode>General</c:formatCode>
              <c:ptCount val="2"/>
              <c:pt idx="0">
                <c:v>3.2733458121411478E-2</c:v>
              </c:pt>
              <c:pt idx="1">
                <c:v>2.3014649190439475E-2</c:v>
              </c:pt>
            </c:numLit>
          </c:yVal>
          <c:smooth val="0"/>
          <c:extLst>
            <c:ext xmlns:c16="http://schemas.microsoft.com/office/drawing/2014/chart" uri="{C3380CC4-5D6E-409C-BE32-E72D297353CC}">
              <c16:uniqueId val="{00000093-4137-4E27-8261-4217D1D72476}"/>
            </c:ext>
          </c:extLst>
        </c:ser>
        <c:ser>
          <c:idx val="123"/>
          <c:order val="123"/>
          <c:tx>
            <c:v>h=111</c:v>
          </c:tx>
          <c:spPr>
            <a:ln w="3175">
              <a:solidFill>
                <a:srgbClr val="808080"/>
              </a:solidFill>
              <a:prstDash val="solid"/>
            </a:ln>
          </c:spPr>
          <c:marker>
            <c:symbol val="none"/>
          </c:marker>
          <c:xVal>
            <c:numLit>
              <c:formatCode>General</c:formatCode>
              <c:ptCount val="2"/>
              <c:pt idx="0">
                <c:v>25.248179788717867</c:v>
              </c:pt>
              <c:pt idx="1">
                <c:v>25.548179788717867</c:v>
              </c:pt>
            </c:numLit>
          </c:xVal>
          <c:yVal>
            <c:numLit>
              <c:formatCode>General</c:formatCode>
              <c:ptCount val="2"/>
              <c:pt idx="0">
                <c:v>3.299935664323432E-2</c:v>
              </c:pt>
              <c:pt idx="1">
                <c:v>3.2883909449593671E-2</c:v>
              </c:pt>
            </c:numLit>
          </c:yVal>
          <c:smooth val="0"/>
          <c:extLst>
            <c:ext xmlns:c16="http://schemas.microsoft.com/office/drawing/2014/chart" uri="{C3380CC4-5D6E-409C-BE32-E72D297353CC}">
              <c16:uniqueId val="{00000094-4137-4E27-8261-4217D1D72476}"/>
            </c:ext>
          </c:extLst>
        </c:ser>
        <c:ser>
          <c:idx val="124"/>
          <c:order val="124"/>
          <c:tx>
            <c:v>h=112</c:v>
          </c:tx>
          <c:spPr>
            <a:ln w="3175">
              <a:solidFill>
                <a:srgbClr val="808080"/>
              </a:solidFill>
              <a:prstDash val="solid"/>
            </a:ln>
          </c:spPr>
          <c:marker>
            <c:symbol val="none"/>
          </c:marker>
          <c:xVal>
            <c:numLit>
              <c:formatCode>General</c:formatCode>
              <c:ptCount val="2"/>
              <c:pt idx="0">
                <c:v>25.556588570419198</c:v>
              </c:pt>
              <c:pt idx="1">
                <c:v>25.856588570419198</c:v>
              </c:pt>
            </c:numLit>
          </c:xVal>
          <c:yVal>
            <c:numLit>
              <c:formatCode>General</c:formatCode>
              <c:ptCount val="2"/>
              <c:pt idx="0">
                <c:v>3.3265255165057163E-2</c:v>
              </c:pt>
              <c:pt idx="1">
                <c:v>3.3149808812530379E-2</c:v>
              </c:pt>
            </c:numLit>
          </c:yVal>
          <c:smooth val="0"/>
          <c:extLst>
            <c:ext xmlns:c16="http://schemas.microsoft.com/office/drawing/2014/chart" uri="{C3380CC4-5D6E-409C-BE32-E72D297353CC}">
              <c16:uniqueId val="{00000095-4137-4E27-8261-4217D1D72476}"/>
            </c:ext>
          </c:extLst>
        </c:ser>
        <c:ser>
          <c:idx val="125"/>
          <c:order val="125"/>
          <c:tx>
            <c:v>h=113</c:v>
          </c:tx>
          <c:spPr>
            <a:ln w="3175">
              <a:solidFill>
                <a:srgbClr val="808080"/>
              </a:solidFill>
              <a:prstDash val="solid"/>
            </a:ln>
          </c:spPr>
          <c:marker>
            <c:symbol val="none"/>
          </c:marker>
          <c:xVal>
            <c:numLit>
              <c:formatCode>General</c:formatCode>
              <c:ptCount val="2"/>
              <c:pt idx="0">
                <c:v>25.864997352120533</c:v>
              </c:pt>
              <c:pt idx="1">
                <c:v>26.164997352120533</c:v>
              </c:pt>
            </c:numLit>
          </c:xVal>
          <c:yVal>
            <c:numLit>
              <c:formatCode>General</c:formatCode>
              <c:ptCount val="2"/>
              <c:pt idx="0">
                <c:v>3.3531153686880012E-2</c:v>
              </c:pt>
              <c:pt idx="1">
                <c:v>3.341570816211524E-2</c:v>
              </c:pt>
            </c:numLit>
          </c:yVal>
          <c:smooth val="0"/>
          <c:extLst>
            <c:ext xmlns:c16="http://schemas.microsoft.com/office/drawing/2014/chart" uri="{C3380CC4-5D6E-409C-BE32-E72D297353CC}">
              <c16:uniqueId val="{00000096-4137-4E27-8261-4217D1D72476}"/>
            </c:ext>
          </c:extLst>
        </c:ser>
        <c:ser>
          <c:idx val="126"/>
          <c:order val="126"/>
          <c:tx>
            <c:v>h=114</c:v>
          </c:tx>
          <c:spPr>
            <a:ln w="3175">
              <a:solidFill>
                <a:srgbClr val="808080"/>
              </a:solidFill>
              <a:prstDash val="solid"/>
            </a:ln>
          </c:spPr>
          <c:marker>
            <c:symbol val="none"/>
          </c:marker>
          <c:xVal>
            <c:numLit>
              <c:formatCode>General</c:formatCode>
              <c:ptCount val="2"/>
              <c:pt idx="0">
                <c:v>26.173406133821867</c:v>
              </c:pt>
              <c:pt idx="1">
                <c:v>26.473406133821868</c:v>
              </c:pt>
            </c:numLit>
          </c:xVal>
          <c:yVal>
            <c:numLit>
              <c:formatCode>General</c:formatCode>
              <c:ptCount val="2"/>
              <c:pt idx="0">
                <c:v>3.3797052208702855E-2</c:v>
              </c:pt>
              <c:pt idx="1">
                <c:v>3.3681607498663661E-2</c:v>
              </c:pt>
            </c:numLit>
          </c:yVal>
          <c:smooth val="0"/>
          <c:extLst>
            <c:ext xmlns:c16="http://schemas.microsoft.com/office/drawing/2014/chart" uri="{C3380CC4-5D6E-409C-BE32-E72D297353CC}">
              <c16:uniqueId val="{00000097-4137-4E27-8261-4217D1D72476}"/>
            </c:ext>
          </c:extLst>
        </c:ser>
        <c:ser>
          <c:idx val="127"/>
          <c:order val="127"/>
          <c:tx>
            <c:v>h=115</c:v>
          </c:tx>
          <c:spPr>
            <a:ln w="3175">
              <a:solidFill>
                <a:srgbClr val="808080"/>
              </a:solidFill>
              <a:prstDash val="solid"/>
            </a:ln>
          </c:spPr>
          <c:marker>
            <c:symbol val="none"/>
          </c:marker>
          <c:dLbls>
            <c:dLbl>
              <c:idx val="0"/>
              <c:layout>
                <c:manualLayout>
                  <c:x val="-5.208333333333333E-3"/>
                  <c:y val="4.429975099266438E-3"/>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115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8-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26.481814915523199</c:v>
              </c:pt>
              <c:pt idx="1">
                <c:v>49.999999999999993</c:v>
              </c:pt>
            </c:numLit>
          </c:xVal>
          <c:yVal>
            <c:numLit>
              <c:formatCode>General</c:formatCode>
              <c:ptCount val="2"/>
              <c:pt idx="0">
                <c:v>3.4062950730525697E-2</c:v>
              </c:pt>
              <c:pt idx="1">
                <c:v>2.4942174248265229E-2</c:v>
              </c:pt>
            </c:numLit>
          </c:yVal>
          <c:smooth val="0"/>
          <c:extLst>
            <c:ext xmlns:c16="http://schemas.microsoft.com/office/drawing/2014/chart" uri="{C3380CC4-5D6E-409C-BE32-E72D297353CC}">
              <c16:uniqueId val="{00000099-4137-4E27-8261-4217D1D72476}"/>
            </c:ext>
          </c:extLst>
        </c:ser>
        <c:ser>
          <c:idx val="128"/>
          <c:order val="128"/>
          <c:tx>
            <c:v>h=116</c:v>
          </c:tx>
          <c:spPr>
            <a:ln w="3175">
              <a:solidFill>
                <a:srgbClr val="808080"/>
              </a:solidFill>
              <a:prstDash val="solid"/>
            </a:ln>
          </c:spPr>
          <c:marker>
            <c:symbol val="none"/>
          </c:marker>
          <c:xVal>
            <c:numLit>
              <c:formatCode>General</c:formatCode>
              <c:ptCount val="2"/>
              <c:pt idx="0">
                <c:v>26.790223697224533</c:v>
              </c:pt>
              <c:pt idx="1">
                <c:v>27.090223697224534</c:v>
              </c:pt>
            </c:numLit>
          </c:xVal>
          <c:yVal>
            <c:numLit>
              <c:formatCode>General</c:formatCode>
              <c:ptCount val="2"/>
              <c:pt idx="0">
                <c:v>3.4328849252348546E-2</c:v>
              </c:pt>
              <c:pt idx="1">
                <c:v>3.4213406133863963E-2</c:v>
              </c:pt>
            </c:numLit>
          </c:yVal>
          <c:smooth val="0"/>
          <c:extLst>
            <c:ext xmlns:c16="http://schemas.microsoft.com/office/drawing/2014/chart" uri="{C3380CC4-5D6E-409C-BE32-E72D297353CC}">
              <c16:uniqueId val="{0000009A-4137-4E27-8261-4217D1D72476}"/>
            </c:ext>
          </c:extLst>
        </c:ser>
        <c:ser>
          <c:idx val="129"/>
          <c:order val="129"/>
          <c:tx>
            <c:v>h=117</c:v>
          </c:tx>
          <c:spPr>
            <a:ln w="3175">
              <a:solidFill>
                <a:srgbClr val="808080"/>
              </a:solidFill>
              <a:prstDash val="solid"/>
            </a:ln>
          </c:spPr>
          <c:marker>
            <c:symbol val="none"/>
          </c:marker>
          <c:xVal>
            <c:numLit>
              <c:formatCode>General</c:formatCode>
              <c:ptCount val="2"/>
              <c:pt idx="0">
                <c:v>27.098632478925868</c:v>
              </c:pt>
              <c:pt idx="1">
                <c:v>27.398632478925869</c:v>
              </c:pt>
            </c:numLit>
          </c:xVal>
          <c:yVal>
            <c:numLit>
              <c:formatCode>General</c:formatCode>
              <c:ptCount val="2"/>
              <c:pt idx="0">
                <c:v>3.4594747774171389E-2</c:v>
              </c:pt>
              <c:pt idx="1">
                <c:v>3.4479305433098899E-2</c:v>
              </c:pt>
            </c:numLit>
          </c:yVal>
          <c:smooth val="0"/>
          <c:extLst>
            <c:ext xmlns:c16="http://schemas.microsoft.com/office/drawing/2014/chart" uri="{C3380CC4-5D6E-409C-BE32-E72D297353CC}">
              <c16:uniqueId val="{0000009B-4137-4E27-8261-4217D1D72476}"/>
            </c:ext>
          </c:extLst>
        </c:ser>
        <c:ser>
          <c:idx val="130"/>
          <c:order val="130"/>
          <c:tx>
            <c:v>h=118</c:v>
          </c:tx>
          <c:spPr>
            <a:ln w="3175">
              <a:solidFill>
                <a:srgbClr val="808080"/>
              </a:solidFill>
              <a:prstDash val="solid"/>
            </a:ln>
          </c:spPr>
          <c:marker>
            <c:symbol val="none"/>
          </c:marker>
          <c:xVal>
            <c:numLit>
              <c:formatCode>General</c:formatCode>
              <c:ptCount val="2"/>
              <c:pt idx="0">
                <c:v>27.407041260627199</c:v>
              </c:pt>
              <c:pt idx="1">
                <c:v>27.7070412606272</c:v>
              </c:pt>
            </c:numLit>
          </c:xVal>
          <c:yVal>
            <c:numLit>
              <c:formatCode>General</c:formatCode>
              <c:ptCount val="2"/>
              <c:pt idx="0">
                <c:v>3.4860646295994231E-2</c:v>
              </c:pt>
              <c:pt idx="1">
                <c:v>3.4745204720464225E-2</c:v>
              </c:pt>
            </c:numLit>
          </c:yVal>
          <c:smooth val="0"/>
          <c:extLst>
            <c:ext xmlns:c16="http://schemas.microsoft.com/office/drawing/2014/chart" uri="{C3380CC4-5D6E-409C-BE32-E72D297353CC}">
              <c16:uniqueId val="{0000009C-4137-4E27-8261-4217D1D72476}"/>
            </c:ext>
          </c:extLst>
        </c:ser>
        <c:ser>
          <c:idx val="131"/>
          <c:order val="131"/>
          <c:tx>
            <c:v>h=119</c:v>
          </c:tx>
          <c:spPr>
            <a:ln w="3175">
              <a:solidFill>
                <a:srgbClr val="808080"/>
              </a:solidFill>
              <a:prstDash val="solid"/>
            </a:ln>
          </c:spPr>
          <c:marker>
            <c:symbol val="none"/>
          </c:marker>
          <c:xVal>
            <c:numLit>
              <c:formatCode>General</c:formatCode>
              <c:ptCount val="2"/>
              <c:pt idx="0">
                <c:v>27.715450042328534</c:v>
              </c:pt>
              <c:pt idx="1">
                <c:v>28.015450042328535</c:v>
              </c:pt>
            </c:numLit>
          </c:xVal>
          <c:yVal>
            <c:numLit>
              <c:formatCode>General</c:formatCode>
              <c:ptCount val="2"/>
              <c:pt idx="0">
                <c:v>3.5126544817817074E-2</c:v>
              </c:pt>
              <c:pt idx="1">
                <c:v>3.5011103996229725E-2</c:v>
              </c:pt>
            </c:numLit>
          </c:yVal>
          <c:smooth val="0"/>
          <c:extLst>
            <c:ext xmlns:c16="http://schemas.microsoft.com/office/drawing/2014/chart" uri="{C3380CC4-5D6E-409C-BE32-E72D297353CC}">
              <c16:uniqueId val="{0000009D-4137-4E27-8261-4217D1D72476}"/>
            </c:ext>
          </c:extLst>
        </c:ser>
        <c:ser>
          <c:idx val="132"/>
          <c:order val="132"/>
          <c:tx>
            <c:v>h=120</c:v>
          </c:tx>
          <c:spPr>
            <a:ln w="3175">
              <a:solidFill>
                <a:srgbClr val="808080"/>
              </a:solidFill>
              <a:prstDash val="solid"/>
            </a:ln>
          </c:spPr>
          <c:marker>
            <c:symbol val="none"/>
          </c:marker>
          <c:dLbls>
            <c:dLbl>
              <c:idx val="0"/>
              <c:layout>
                <c:manualLayout>
                  <c:x val="-5.208333333333333E-3"/>
                  <c:y val="2.1367521367521368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120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E-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28.023858824029869</c:v>
              </c:pt>
              <c:pt idx="1">
                <c:v>50</c:v>
              </c:pt>
            </c:numLit>
          </c:xVal>
          <c:yVal>
            <c:numLit>
              <c:formatCode>General</c:formatCode>
              <c:ptCount val="2"/>
              <c:pt idx="0">
                <c:v>3.5392443339639923E-2</c:v>
              </c:pt>
              <c:pt idx="1">
                <c:v>2.6869699306090979E-2</c:v>
              </c:pt>
            </c:numLit>
          </c:yVal>
          <c:smooth val="0"/>
          <c:extLst>
            <c:ext xmlns:c16="http://schemas.microsoft.com/office/drawing/2014/chart" uri="{C3380CC4-5D6E-409C-BE32-E72D297353CC}">
              <c16:uniqueId val="{0000009F-4137-4E27-8261-4217D1D72476}"/>
            </c:ext>
          </c:extLst>
        </c:ser>
        <c:ser>
          <c:idx val="133"/>
          <c:order val="133"/>
          <c:tx>
            <c:v>h=121</c:v>
          </c:tx>
          <c:spPr>
            <a:ln w="3175">
              <a:solidFill>
                <a:srgbClr val="808080"/>
              </a:solidFill>
              <a:prstDash val="solid"/>
            </a:ln>
          </c:spPr>
          <c:marker>
            <c:symbol val="none"/>
          </c:marker>
          <c:xVal>
            <c:numLit>
              <c:formatCode>General</c:formatCode>
              <c:ptCount val="2"/>
              <c:pt idx="0">
                <c:v>28.3322676057312</c:v>
              </c:pt>
              <c:pt idx="1">
                <c:v>28.632267605731201</c:v>
              </c:pt>
            </c:numLit>
          </c:xVal>
          <c:yVal>
            <c:numLit>
              <c:formatCode>General</c:formatCode>
              <c:ptCount val="2"/>
              <c:pt idx="0">
                <c:v>3.5658341861462765E-2</c:v>
              </c:pt>
              <c:pt idx="1">
                <c:v>3.5542902514000108E-2</c:v>
              </c:pt>
            </c:numLit>
          </c:yVal>
          <c:smooth val="0"/>
          <c:extLst>
            <c:ext xmlns:c16="http://schemas.microsoft.com/office/drawing/2014/chart" uri="{C3380CC4-5D6E-409C-BE32-E72D297353CC}">
              <c16:uniqueId val="{000000A0-4137-4E27-8261-4217D1D72476}"/>
            </c:ext>
          </c:extLst>
        </c:ser>
        <c:ser>
          <c:idx val="134"/>
          <c:order val="134"/>
          <c:tx>
            <c:v>h=122</c:v>
          </c:tx>
          <c:spPr>
            <a:ln w="3175">
              <a:solidFill>
                <a:srgbClr val="808080"/>
              </a:solidFill>
              <a:prstDash val="solid"/>
            </a:ln>
          </c:spPr>
          <c:marker>
            <c:symbol val="none"/>
          </c:marker>
          <c:xVal>
            <c:numLit>
              <c:formatCode>General</c:formatCode>
              <c:ptCount val="2"/>
              <c:pt idx="0">
                <c:v>28.640676387432535</c:v>
              </c:pt>
              <c:pt idx="1">
                <c:v>28.940676387432536</c:v>
              </c:pt>
            </c:numLit>
          </c:xVal>
          <c:yVal>
            <c:numLit>
              <c:formatCode>General</c:formatCode>
              <c:ptCount val="2"/>
              <c:pt idx="0">
                <c:v>3.5924240383285608E-2</c:v>
              </c:pt>
              <c:pt idx="1">
                <c:v>3.5808801756505165E-2</c:v>
              </c:pt>
            </c:numLit>
          </c:yVal>
          <c:smooth val="0"/>
          <c:extLst>
            <c:ext xmlns:c16="http://schemas.microsoft.com/office/drawing/2014/chart" uri="{C3380CC4-5D6E-409C-BE32-E72D297353CC}">
              <c16:uniqueId val="{000000A1-4137-4E27-8261-4217D1D72476}"/>
            </c:ext>
          </c:extLst>
        </c:ser>
        <c:ser>
          <c:idx val="135"/>
          <c:order val="135"/>
          <c:tx>
            <c:v>h=123</c:v>
          </c:tx>
          <c:spPr>
            <a:ln w="3175">
              <a:solidFill>
                <a:srgbClr val="808080"/>
              </a:solidFill>
              <a:prstDash val="solid"/>
            </a:ln>
          </c:spPr>
          <c:marker>
            <c:symbol val="none"/>
          </c:marker>
          <c:xVal>
            <c:numLit>
              <c:formatCode>General</c:formatCode>
              <c:ptCount val="2"/>
              <c:pt idx="0">
                <c:v>28.94908516913387</c:v>
              </c:pt>
              <c:pt idx="1">
                <c:v>29.24908516913387</c:v>
              </c:pt>
            </c:numLit>
          </c:xVal>
          <c:yVal>
            <c:numLit>
              <c:formatCode>General</c:formatCode>
              <c:ptCount val="2"/>
              <c:pt idx="0">
                <c:v>3.6190138905108457E-2</c:v>
              </c:pt>
              <c:pt idx="1">
                <c:v>3.6074700988411347E-2</c:v>
              </c:pt>
            </c:numLit>
          </c:yVal>
          <c:smooth val="0"/>
          <c:extLst>
            <c:ext xmlns:c16="http://schemas.microsoft.com/office/drawing/2014/chart" uri="{C3380CC4-5D6E-409C-BE32-E72D297353CC}">
              <c16:uniqueId val="{000000A2-4137-4E27-8261-4217D1D72476}"/>
            </c:ext>
          </c:extLst>
        </c:ser>
        <c:ser>
          <c:idx val="136"/>
          <c:order val="136"/>
          <c:tx>
            <c:v>h=124</c:v>
          </c:tx>
          <c:spPr>
            <a:ln w="3175">
              <a:solidFill>
                <a:srgbClr val="808080"/>
              </a:solidFill>
              <a:prstDash val="solid"/>
            </a:ln>
          </c:spPr>
          <c:marker>
            <c:symbol val="none"/>
          </c:marker>
          <c:xVal>
            <c:numLit>
              <c:formatCode>General</c:formatCode>
              <c:ptCount val="2"/>
              <c:pt idx="0">
                <c:v>29.257493950835201</c:v>
              </c:pt>
              <c:pt idx="1">
                <c:v>29.557493950835202</c:v>
              </c:pt>
            </c:numLit>
          </c:xVal>
          <c:yVal>
            <c:numLit>
              <c:formatCode>General</c:formatCode>
              <c:ptCount val="2"/>
              <c:pt idx="0">
                <c:v>3.64560374269313E-2</c:v>
              </c:pt>
              <c:pt idx="1">
                <c:v>3.6340600209950738E-2</c:v>
              </c:pt>
            </c:numLit>
          </c:yVal>
          <c:smooth val="0"/>
          <c:extLst>
            <c:ext xmlns:c16="http://schemas.microsoft.com/office/drawing/2014/chart" uri="{C3380CC4-5D6E-409C-BE32-E72D297353CC}">
              <c16:uniqueId val="{000000A3-4137-4E27-8261-4217D1D72476}"/>
            </c:ext>
          </c:extLst>
        </c:ser>
        <c:ser>
          <c:idx val="137"/>
          <c:order val="137"/>
          <c:tx>
            <c:v>h=125</c:v>
          </c:tx>
          <c:spPr>
            <a:ln w="3175">
              <a:solidFill>
                <a:srgbClr val="808080"/>
              </a:solidFill>
              <a:prstDash val="solid"/>
            </a:ln>
          </c:spPr>
          <c:marker>
            <c:symbol val="none"/>
          </c:marker>
          <c:dLbls>
            <c:dLbl>
              <c:idx val="0"/>
              <c:layout>
                <c:manualLayout>
                  <c:x val="-5.2083333333334605E-3"/>
                  <c:y val="2.1367521367521368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125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4-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29.565902732536536</c:v>
              </c:pt>
              <c:pt idx="1">
                <c:v>50</c:v>
              </c:pt>
            </c:numLit>
          </c:xVal>
          <c:yVal>
            <c:numLit>
              <c:formatCode>General</c:formatCode>
              <c:ptCount val="2"/>
              <c:pt idx="0">
                <c:v>3.6721935948754142E-2</c:v>
              </c:pt>
              <c:pt idx="1">
                <c:v>2.879722436391673E-2</c:v>
              </c:pt>
            </c:numLit>
          </c:yVal>
          <c:smooth val="0"/>
          <c:extLst>
            <c:ext xmlns:c16="http://schemas.microsoft.com/office/drawing/2014/chart" uri="{C3380CC4-5D6E-409C-BE32-E72D297353CC}">
              <c16:uniqueId val="{000000A5-4137-4E27-8261-4217D1D72476}"/>
            </c:ext>
          </c:extLst>
        </c:ser>
        <c:ser>
          <c:idx val="138"/>
          <c:order val="138"/>
          <c:tx>
            <c:v>h=126</c:v>
          </c:tx>
          <c:spPr>
            <a:ln w="3175">
              <a:solidFill>
                <a:srgbClr val="808080"/>
              </a:solidFill>
              <a:prstDash val="solid"/>
            </a:ln>
          </c:spPr>
          <c:marker>
            <c:symbol val="none"/>
          </c:marker>
          <c:xVal>
            <c:numLit>
              <c:formatCode>General</c:formatCode>
              <c:ptCount val="2"/>
              <c:pt idx="0">
                <c:v>29.874311514237871</c:v>
              </c:pt>
              <c:pt idx="1">
                <c:v>30.174311514237871</c:v>
              </c:pt>
            </c:numLit>
          </c:xVal>
          <c:yVal>
            <c:numLit>
              <c:formatCode>General</c:formatCode>
              <c:ptCount val="2"/>
              <c:pt idx="0">
                <c:v>3.6987834470576984E-2</c:v>
              </c:pt>
              <c:pt idx="1">
                <c:v>3.687239862282421E-2</c:v>
              </c:pt>
            </c:numLit>
          </c:yVal>
          <c:smooth val="0"/>
          <c:extLst>
            <c:ext xmlns:c16="http://schemas.microsoft.com/office/drawing/2014/chart" uri="{C3380CC4-5D6E-409C-BE32-E72D297353CC}">
              <c16:uniqueId val="{000000A6-4137-4E27-8261-4217D1D72476}"/>
            </c:ext>
          </c:extLst>
        </c:ser>
        <c:ser>
          <c:idx val="139"/>
          <c:order val="139"/>
          <c:tx>
            <c:v>h=127</c:v>
          </c:tx>
          <c:spPr>
            <a:ln w="3175">
              <a:solidFill>
                <a:srgbClr val="808080"/>
              </a:solidFill>
              <a:prstDash val="solid"/>
            </a:ln>
          </c:spPr>
          <c:marker>
            <c:symbol val="none"/>
          </c:marker>
          <c:xVal>
            <c:numLit>
              <c:formatCode>General</c:formatCode>
              <c:ptCount val="2"/>
              <c:pt idx="0">
                <c:v>30.182720295939202</c:v>
              </c:pt>
              <c:pt idx="1">
                <c:v>30.482720295939203</c:v>
              </c:pt>
            </c:numLit>
          </c:xVal>
          <c:yVal>
            <c:numLit>
              <c:formatCode>General</c:formatCode>
              <c:ptCount val="2"/>
              <c:pt idx="0">
                <c:v>3.7253732992399834E-2</c:v>
              </c:pt>
              <c:pt idx="1">
                <c:v>3.713829781458982E-2</c:v>
              </c:pt>
            </c:numLit>
          </c:yVal>
          <c:smooth val="0"/>
          <c:extLst>
            <c:ext xmlns:c16="http://schemas.microsoft.com/office/drawing/2014/chart" uri="{C3380CC4-5D6E-409C-BE32-E72D297353CC}">
              <c16:uniqueId val="{000000A7-4137-4E27-8261-4217D1D72476}"/>
            </c:ext>
          </c:extLst>
        </c:ser>
        <c:ser>
          <c:idx val="140"/>
          <c:order val="140"/>
          <c:tx>
            <c:v>h=128</c:v>
          </c:tx>
          <c:spPr>
            <a:ln w="3175">
              <a:solidFill>
                <a:srgbClr val="808080"/>
              </a:solidFill>
              <a:prstDash val="solid"/>
            </a:ln>
          </c:spPr>
          <c:marker>
            <c:symbol val="none"/>
          </c:marker>
          <c:xVal>
            <c:numLit>
              <c:formatCode>General</c:formatCode>
              <c:ptCount val="2"/>
              <c:pt idx="0">
                <c:v>30.491129077640537</c:v>
              </c:pt>
              <c:pt idx="1">
                <c:v>30.791129077640537</c:v>
              </c:pt>
            </c:numLit>
          </c:xVal>
          <c:yVal>
            <c:numLit>
              <c:formatCode>General</c:formatCode>
              <c:ptCount val="2"/>
              <c:pt idx="0">
                <c:v>3.7519631514222676E-2</c:v>
              </c:pt>
              <c:pt idx="1">
                <c:v>3.7404196996852157E-2</c:v>
              </c:pt>
            </c:numLit>
          </c:yVal>
          <c:smooth val="0"/>
          <c:extLst>
            <c:ext xmlns:c16="http://schemas.microsoft.com/office/drawing/2014/chart" uri="{C3380CC4-5D6E-409C-BE32-E72D297353CC}">
              <c16:uniqueId val="{000000A8-4137-4E27-8261-4217D1D72476}"/>
            </c:ext>
          </c:extLst>
        </c:ser>
        <c:ser>
          <c:idx val="141"/>
          <c:order val="141"/>
          <c:tx>
            <c:v>h=129</c:v>
          </c:tx>
          <c:spPr>
            <a:ln w="3175">
              <a:solidFill>
                <a:srgbClr val="808080"/>
              </a:solidFill>
              <a:prstDash val="solid"/>
            </a:ln>
          </c:spPr>
          <c:marker>
            <c:symbol val="none"/>
          </c:marker>
          <c:xVal>
            <c:numLit>
              <c:formatCode>General</c:formatCode>
              <c:ptCount val="2"/>
              <c:pt idx="0">
                <c:v>30.799537859341871</c:v>
              </c:pt>
              <c:pt idx="1">
                <c:v>31.099537859341872</c:v>
              </c:pt>
            </c:numLit>
          </c:xVal>
          <c:yVal>
            <c:numLit>
              <c:formatCode>General</c:formatCode>
              <c:ptCount val="2"/>
              <c:pt idx="0">
                <c:v>3.7785530036045518E-2</c:v>
              </c:pt>
              <c:pt idx="1">
                <c:v>3.7670096169812005E-2</c:v>
              </c:pt>
            </c:numLit>
          </c:yVal>
          <c:smooth val="0"/>
          <c:extLst>
            <c:ext xmlns:c16="http://schemas.microsoft.com/office/drawing/2014/chart" uri="{C3380CC4-5D6E-409C-BE32-E72D297353CC}">
              <c16:uniqueId val="{000000A9-4137-4E27-8261-4217D1D72476}"/>
            </c:ext>
          </c:extLst>
        </c:ser>
        <c:ser>
          <c:idx val="142"/>
          <c:order val="142"/>
          <c:tx>
            <c:v>h=130</c:v>
          </c:tx>
          <c:spPr>
            <a:ln w="3175">
              <a:solidFill>
                <a:srgbClr val="808080"/>
              </a:solidFill>
              <a:prstDash val="solid"/>
            </a:ln>
          </c:spPr>
          <c:marker>
            <c:symbol val="none"/>
          </c:marker>
          <c:dLbls>
            <c:dLbl>
              <c:idx val="0"/>
              <c:layout>
                <c:manualLayout>
                  <c:x val="-5.208333333333333E-3"/>
                  <c:y val="2.1367521367521368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130</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A-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31.107946641043203</c:v>
              </c:pt>
              <c:pt idx="1">
                <c:v>50</c:v>
              </c:pt>
            </c:numLit>
          </c:xVal>
          <c:yVal>
            <c:numLit>
              <c:formatCode>General</c:formatCode>
              <c:ptCount val="2"/>
              <c:pt idx="0">
                <c:v>3.8051428557868368E-2</c:v>
              </c:pt>
              <c:pt idx="1">
                <c:v>3.0724749421742484E-2</c:v>
              </c:pt>
            </c:numLit>
          </c:yVal>
          <c:smooth val="0"/>
          <c:extLst>
            <c:ext xmlns:c16="http://schemas.microsoft.com/office/drawing/2014/chart" uri="{C3380CC4-5D6E-409C-BE32-E72D297353CC}">
              <c16:uniqueId val="{000000AB-4137-4E27-8261-4217D1D72476}"/>
            </c:ext>
          </c:extLst>
        </c:ser>
        <c:ser>
          <c:idx val="143"/>
          <c:order val="143"/>
          <c:tx>
            <c:v>h=131</c:v>
          </c:tx>
          <c:spPr>
            <a:ln w="3175">
              <a:solidFill>
                <a:srgbClr val="808080"/>
              </a:solidFill>
              <a:prstDash val="solid"/>
            </a:ln>
          </c:spPr>
          <c:marker>
            <c:symbol val="none"/>
          </c:marker>
          <c:xVal>
            <c:numLit>
              <c:formatCode>General</c:formatCode>
              <c:ptCount val="2"/>
              <c:pt idx="0">
                <c:v>31.416355422744537</c:v>
              </c:pt>
              <c:pt idx="1">
                <c:v>31.716355422744538</c:v>
              </c:pt>
            </c:numLit>
          </c:xVal>
          <c:yVal>
            <c:numLit>
              <c:formatCode>General</c:formatCode>
              <c:ptCount val="2"/>
              <c:pt idx="0">
                <c:v>3.831732707969121E-2</c:v>
              </c:pt>
              <c:pt idx="1">
                <c:v>3.8201894488599515E-2</c:v>
              </c:pt>
            </c:numLit>
          </c:yVal>
          <c:smooth val="0"/>
          <c:extLst>
            <c:ext xmlns:c16="http://schemas.microsoft.com/office/drawing/2014/chart" uri="{C3380CC4-5D6E-409C-BE32-E72D297353CC}">
              <c16:uniqueId val="{000000AC-4137-4E27-8261-4217D1D72476}"/>
            </c:ext>
          </c:extLst>
        </c:ser>
        <c:ser>
          <c:idx val="144"/>
          <c:order val="144"/>
          <c:tx>
            <c:v>h=132</c:v>
          </c:tx>
          <c:spPr>
            <a:ln w="3175">
              <a:solidFill>
                <a:srgbClr val="808080"/>
              </a:solidFill>
              <a:prstDash val="solid"/>
            </a:ln>
          </c:spPr>
          <c:marker>
            <c:symbol val="none"/>
          </c:marker>
          <c:xVal>
            <c:numLit>
              <c:formatCode>General</c:formatCode>
              <c:ptCount val="2"/>
              <c:pt idx="0">
                <c:v>31.724764204445872</c:v>
              </c:pt>
              <c:pt idx="1">
                <c:v>32.024764204445873</c:v>
              </c:pt>
            </c:numLit>
          </c:xVal>
          <c:yVal>
            <c:numLit>
              <c:formatCode>General</c:formatCode>
              <c:ptCount val="2"/>
              <c:pt idx="0">
                <c:v>3.8583225601514053E-2</c:v>
              </c:pt>
              <c:pt idx="1">
                <c:v>3.8467793634801413E-2</c:v>
              </c:pt>
            </c:numLit>
          </c:yVal>
          <c:smooth val="0"/>
          <c:extLst>
            <c:ext xmlns:c16="http://schemas.microsoft.com/office/drawing/2014/chart" uri="{C3380CC4-5D6E-409C-BE32-E72D297353CC}">
              <c16:uniqueId val="{000000AD-4137-4E27-8261-4217D1D72476}"/>
            </c:ext>
          </c:extLst>
        </c:ser>
        <c:ser>
          <c:idx val="145"/>
          <c:order val="145"/>
          <c:tx>
            <c:v>h=133</c:v>
          </c:tx>
          <c:spPr>
            <a:ln w="3175">
              <a:solidFill>
                <a:srgbClr val="808080"/>
              </a:solidFill>
              <a:prstDash val="solid"/>
            </a:ln>
          </c:spPr>
          <c:marker>
            <c:symbol val="none"/>
          </c:marker>
          <c:xVal>
            <c:numLit>
              <c:formatCode>General</c:formatCode>
              <c:ptCount val="2"/>
              <c:pt idx="0">
                <c:v>32.033172986147207</c:v>
              </c:pt>
              <c:pt idx="1">
                <c:v>32.333172986147204</c:v>
              </c:pt>
            </c:numLit>
          </c:xVal>
          <c:yVal>
            <c:numLit>
              <c:formatCode>General</c:formatCode>
              <c:ptCount val="2"/>
              <c:pt idx="0">
                <c:v>3.8849124123336895E-2</c:v>
              </c:pt>
              <c:pt idx="1">
                <c:v>3.8733692772449715E-2</c:v>
              </c:pt>
            </c:numLit>
          </c:yVal>
          <c:smooth val="0"/>
          <c:extLst>
            <c:ext xmlns:c16="http://schemas.microsoft.com/office/drawing/2014/chart" uri="{C3380CC4-5D6E-409C-BE32-E72D297353CC}">
              <c16:uniqueId val="{000000AE-4137-4E27-8261-4217D1D72476}"/>
            </c:ext>
          </c:extLst>
        </c:ser>
        <c:ser>
          <c:idx val="146"/>
          <c:order val="146"/>
          <c:tx>
            <c:v>h=134</c:v>
          </c:tx>
          <c:spPr>
            <a:ln w="3175">
              <a:solidFill>
                <a:srgbClr val="808080"/>
              </a:solidFill>
              <a:prstDash val="solid"/>
            </a:ln>
          </c:spPr>
          <c:marker>
            <c:symbol val="none"/>
          </c:marker>
          <c:xVal>
            <c:numLit>
              <c:formatCode>General</c:formatCode>
              <c:ptCount val="2"/>
              <c:pt idx="0">
                <c:v>32.341581767848538</c:v>
              </c:pt>
              <c:pt idx="1">
                <c:v>32.641581767848535</c:v>
              </c:pt>
            </c:numLit>
          </c:xVal>
          <c:yVal>
            <c:numLit>
              <c:formatCode>General</c:formatCode>
              <c:ptCount val="2"/>
              <c:pt idx="0">
                <c:v>3.9115022645159744E-2</c:v>
              </c:pt>
              <c:pt idx="1">
                <c:v>3.8999591901718991E-2</c:v>
              </c:pt>
            </c:numLit>
          </c:yVal>
          <c:smooth val="0"/>
          <c:extLst>
            <c:ext xmlns:c16="http://schemas.microsoft.com/office/drawing/2014/chart" uri="{C3380CC4-5D6E-409C-BE32-E72D297353CC}">
              <c16:uniqueId val="{000000AF-4137-4E27-8261-4217D1D72476}"/>
            </c:ext>
          </c:extLst>
        </c:ser>
        <c:ser>
          <c:idx val="147"/>
          <c:order val="147"/>
          <c:tx>
            <c:v>h=135</c:v>
          </c:tx>
          <c:spPr>
            <a:ln w="3175">
              <a:solidFill>
                <a:srgbClr val="808080"/>
              </a:solidFill>
              <a:prstDash val="solid"/>
            </a:ln>
          </c:spPr>
          <c:marker>
            <c:symbol val="none"/>
          </c:marker>
          <c:dLbls>
            <c:dLbl>
              <c:idx val="0"/>
              <c:layout>
                <c:manualLayout>
                  <c:x val="-5.208333333333333E-3"/>
                  <c:y val="2.1367521367521368E-2"/>
                </c:manualLayout>
              </c:layout>
              <c:tx>
                <c:rich>
                  <a:bodyPr rot="-2940000" vert="horz" wrap="square" lIns="38100" tIns="19050" rIns="38100" bIns="19050" anchor="ctr">
                    <a:spAutoFit/>
                  </a:bodyPr>
                  <a:lstStyle/>
                  <a:p>
                    <a:pPr algn="ctr">
                      <a:defRPr altLang="ja-JP" sz="700" u="none" strike="noStrike" baseline="0">
                        <a:solidFill>
                          <a:srgbClr val="000000"/>
                        </a:solidFill>
                        <a:latin typeface="ＭＳ Ｐ明朝"/>
                        <a:ea typeface="ＭＳ Ｐ明朝"/>
                        <a:cs typeface="ＭＳ Ｐ明朝"/>
                      </a:defRPr>
                    </a:pPr>
                    <a:r>
                      <a:rPr lang="en-US"/>
                      <a:t>135</a:t>
                    </a:r>
                    <a:endParaRPr lang="en-US" altLang="ja-JP"/>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0-4137-4E27-8261-4217D1D724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32.649990549549869</c:v>
              </c:pt>
              <c:pt idx="1">
                <c:v>50</c:v>
              </c:pt>
            </c:numLit>
          </c:xVal>
          <c:yVal>
            <c:numLit>
              <c:formatCode>General</c:formatCode>
              <c:ptCount val="2"/>
              <c:pt idx="0">
                <c:v>3.9380921166982587E-2</c:v>
              </c:pt>
              <c:pt idx="1">
                <c:v>3.2652274479568234E-2</c:v>
              </c:pt>
            </c:numLit>
          </c:yVal>
          <c:smooth val="0"/>
          <c:extLst>
            <c:ext xmlns:c16="http://schemas.microsoft.com/office/drawing/2014/chart" uri="{C3380CC4-5D6E-409C-BE32-E72D297353CC}">
              <c16:uniqueId val="{000000B1-4137-4E27-8261-4217D1D72476}"/>
            </c:ext>
          </c:extLst>
        </c:ser>
        <c:ser>
          <c:idx val="148"/>
          <c:order val="148"/>
          <c:tx>
            <c:v>h=136</c:v>
          </c:tx>
          <c:spPr>
            <a:ln w="3175">
              <a:solidFill>
                <a:srgbClr val="808080"/>
              </a:solidFill>
              <a:prstDash val="solid"/>
            </a:ln>
          </c:spPr>
          <c:marker>
            <c:symbol val="none"/>
          </c:marker>
          <c:xVal>
            <c:numLit>
              <c:formatCode>General</c:formatCode>
              <c:ptCount val="2"/>
              <c:pt idx="0">
                <c:v>32.958399331251208</c:v>
              </c:pt>
              <c:pt idx="1">
                <c:v>33.258399331251205</c:v>
              </c:pt>
            </c:numLit>
          </c:xVal>
          <c:yVal>
            <c:numLit>
              <c:formatCode>General</c:formatCode>
              <c:ptCount val="2"/>
              <c:pt idx="0">
                <c:v>3.9646819688805429E-2</c:v>
              </c:pt>
              <c:pt idx="1">
                <c:v>3.9531390135795305E-2</c:v>
              </c:pt>
            </c:numLit>
          </c:yVal>
          <c:smooth val="0"/>
          <c:extLst>
            <c:ext xmlns:c16="http://schemas.microsoft.com/office/drawing/2014/chart" uri="{C3380CC4-5D6E-409C-BE32-E72D297353CC}">
              <c16:uniqueId val="{000000B2-4137-4E27-8261-4217D1D72476}"/>
            </c:ext>
          </c:extLst>
        </c:ser>
        <c:ser>
          <c:idx val="149"/>
          <c:order val="149"/>
          <c:tx>
            <c:v>h=137</c:v>
          </c:tx>
          <c:spPr>
            <a:ln w="3175">
              <a:solidFill>
                <a:srgbClr val="808080"/>
              </a:solidFill>
              <a:prstDash val="solid"/>
            </a:ln>
          </c:spPr>
          <c:marker>
            <c:symbol val="none"/>
          </c:marker>
          <c:xVal>
            <c:numLit>
              <c:formatCode>General</c:formatCode>
              <c:ptCount val="2"/>
              <c:pt idx="0">
                <c:v>33.266808112952539</c:v>
              </c:pt>
              <c:pt idx="1">
                <c:v>33.566808112952536</c:v>
              </c:pt>
            </c:numLit>
          </c:xVal>
          <c:yVal>
            <c:numLit>
              <c:formatCode>General</c:formatCode>
              <c:ptCount val="2"/>
              <c:pt idx="0">
                <c:v>3.9912718210628279E-2</c:v>
              </c:pt>
              <c:pt idx="1">
                <c:v>3.9797289240928527E-2</c:v>
              </c:pt>
            </c:numLit>
          </c:yVal>
          <c:smooth val="0"/>
          <c:extLst>
            <c:ext xmlns:c16="http://schemas.microsoft.com/office/drawing/2014/chart" uri="{C3380CC4-5D6E-409C-BE32-E72D297353CC}">
              <c16:uniqueId val="{000000B3-4137-4E27-8261-4217D1D72476}"/>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BD0B-42AB-8104-7FC8BCE42856}"/>
            </c:ext>
          </c:extLst>
        </c:ser>
        <c:ser>
          <c:idx val="1"/>
          <c:order val="1"/>
          <c:tx>
            <c:v>x=0</c:v>
          </c:tx>
          <c:spPr>
            <a:ln w="3175">
              <a:solidFill>
                <a:srgbClr val="000000"/>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-10.178000000000001</c:v>
              </c:pt>
              <c:pt idx="1">
                <c:v>50.8</c:v>
              </c:pt>
            </c:numLit>
          </c:xVal>
          <c:yVal>
            <c:numLit>
              <c:formatCode>General</c:formatCode>
              <c:ptCount val="2"/>
              <c:pt idx="0">
                <c:v>0</c:v>
              </c:pt>
              <c:pt idx="1">
                <c:v>0</c:v>
              </c:pt>
            </c:numLit>
          </c:yVal>
          <c:smooth val="0"/>
          <c:extLst>
            <c:ext xmlns:c16="http://schemas.microsoft.com/office/drawing/2014/chart" uri="{C3380CC4-5D6E-409C-BE32-E72D297353CC}">
              <c16:uniqueId val="{00000002-BD0B-42AB-8104-7FC8BCE42856}"/>
            </c:ext>
          </c:extLst>
        </c:ser>
        <c:ser>
          <c:idx val="2"/>
          <c:order val="2"/>
          <c:tx>
            <c:v>x=0.0002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2.0000000000000001E-4</c:v>
              </c:pt>
              <c:pt idx="1">
                <c:v>2.0000000000000001E-4</c:v>
              </c:pt>
            </c:numLit>
          </c:yVal>
          <c:smooth val="0"/>
          <c:extLst>
            <c:ext xmlns:c16="http://schemas.microsoft.com/office/drawing/2014/chart" uri="{C3380CC4-5D6E-409C-BE32-E72D297353CC}">
              <c16:uniqueId val="{00000003-BD0B-42AB-8104-7FC8BCE42856}"/>
            </c:ext>
          </c:extLst>
        </c:ser>
        <c:ser>
          <c:idx val="3"/>
          <c:order val="3"/>
          <c:tx>
            <c:v>x=0.0004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4.0000000000000002E-4</c:v>
              </c:pt>
              <c:pt idx="1">
                <c:v>4.0000000000000002E-4</c:v>
              </c:pt>
            </c:numLit>
          </c:yVal>
          <c:smooth val="0"/>
          <c:extLst>
            <c:ext xmlns:c16="http://schemas.microsoft.com/office/drawing/2014/chart" uri="{C3380CC4-5D6E-409C-BE32-E72D297353CC}">
              <c16:uniqueId val="{00000004-BD0B-42AB-8104-7FC8BCE42856}"/>
            </c:ext>
          </c:extLst>
        </c:ser>
        <c:ser>
          <c:idx val="4"/>
          <c:order val="4"/>
          <c:tx>
            <c:v>x=0.0006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6.0000000000000006E-4</c:v>
              </c:pt>
              <c:pt idx="1">
                <c:v>6.0000000000000006E-4</c:v>
              </c:pt>
            </c:numLit>
          </c:yVal>
          <c:smooth val="0"/>
          <c:extLst>
            <c:ext xmlns:c16="http://schemas.microsoft.com/office/drawing/2014/chart" uri="{C3380CC4-5D6E-409C-BE32-E72D297353CC}">
              <c16:uniqueId val="{00000005-BD0B-42AB-8104-7FC8BCE42856}"/>
            </c:ext>
          </c:extLst>
        </c:ser>
        <c:ser>
          <c:idx val="5"/>
          <c:order val="5"/>
          <c:tx>
            <c:v>x=0.0008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8.0000000000000004E-4</c:v>
              </c:pt>
              <c:pt idx="1">
                <c:v>8.0000000000000004E-4</c:v>
              </c:pt>
            </c:numLit>
          </c:yVal>
          <c:smooth val="0"/>
          <c:extLst>
            <c:ext xmlns:c16="http://schemas.microsoft.com/office/drawing/2014/chart" uri="{C3380CC4-5D6E-409C-BE32-E72D297353CC}">
              <c16:uniqueId val="{00000006-BD0B-42AB-8104-7FC8BCE42856}"/>
            </c:ext>
          </c:extLst>
        </c:ser>
        <c:ser>
          <c:idx val="6"/>
          <c:order val="6"/>
          <c:tx>
            <c:v>x=0.001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-10.289263499005965</c:v>
              </c:pt>
              <c:pt idx="1">
                <c:v>50.8</c:v>
              </c:pt>
            </c:numLit>
          </c:xVal>
          <c:yVal>
            <c:numLit>
              <c:formatCode>General</c:formatCode>
              <c:ptCount val="2"/>
              <c:pt idx="0">
                <c:v>1E-3</c:v>
              </c:pt>
              <c:pt idx="1">
                <c:v>1E-3</c:v>
              </c:pt>
            </c:numLit>
          </c:yVal>
          <c:smooth val="0"/>
          <c:extLst>
            <c:ext xmlns:c16="http://schemas.microsoft.com/office/drawing/2014/chart" uri="{C3380CC4-5D6E-409C-BE32-E72D297353CC}">
              <c16:uniqueId val="{00000008-BD0B-42AB-8104-7FC8BCE42856}"/>
            </c:ext>
          </c:extLst>
        </c:ser>
        <c:ser>
          <c:idx val="7"/>
          <c:order val="7"/>
          <c:tx>
            <c:v>x=0.0012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1.2000000000000001E-3</c:v>
              </c:pt>
              <c:pt idx="1">
                <c:v>1.2000000000000001E-3</c:v>
              </c:pt>
            </c:numLit>
          </c:yVal>
          <c:smooth val="0"/>
          <c:extLst>
            <c:ext xmlns:c16="http://schemas.microsoft.com/office/drawing/2014/chart" uri="{C3380CC4-5D6E-409C-BE32-E72D297353CC}">
              <c16:uniqueId val="{00000009-BD0B-42AB-8104-7FC8BCE42856}"/>
            </c:ext>
          </c:extLst>
        </c:ser>
        <c:ser>
          <c:idx val="8"/>
          <c:order val="8"/>
          <c:tx>
            <c:v>x=0.0014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1.4E-3</c:v>
              </c:pt>
              <c:pt idx="1">
                <c:v>1.4E-3</c:v>
              </c:pt>
            </c:numLit>
          </c:yVal>
          <c:smooth val="0"/>
          <c:extLst>
            <c:ext xmlns:c16="http://schemas.microsoft.com/office/drawing/2014/chart" uri="{C3380CC4-5D6E-409C-BE32-E72D297353CC}">
              <c16:uniqueId val="{0000000A-BD0B-42AB-8104-7FC8BCE42856}"/>
            </c:ext>
          </c:extLst>
        </c:ser>
        <c:ser>
          <c:idx val="9"/>
          <c:order val="9"/>
          <c:tx>
            <c:v>x=0.0016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1.6000000000000001E-3</c:v>
              </c:pt>
              <c:pt idx="1">
                <c:v>1.6000000000000001E-3</c:v>
              </c:pt>
            </c:numLit>
          </c:yVal>
          <c:smooth val="0"/>
          <c:extLst>
            <c:ext xmlns:c16="http://schemas.microsoft.com/office/drawing/2014/chart" uri="{C3380CC4-5D6E-409C-BE32-E72D297353CC}">
              <c16:uniqueId val="{0000000B-BD0B-42AB-8104-7FC8BCE42856}"/>
            </c:ext>
          </c:extLst>
        </c:ser>
        <c:ser>
          <c:idx val="10"/>
          <c:order val="10"/>
          <c:tx>
            <c:v>x=0.0018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1.8000000000000002E-3</c:v>
              </c:pt>
              <c:pt idx="1">
                <c:v>1.8000000000000002E-3</c:v>
              </c:pt>
            </c:numLit>
          </c:yVal>
          <c:smooth val="0"/>
          <c:extLst>
            <c:ext xmlns:c16="http://schemas.microsoft.com/office/drawing/2014/chart" uri="{C3380CC4-5D6E-409C-BE32-E72D297353CC}">
              <c16:uniqueId val="{0000000C-BD0B-42AB-8104-7FC8BCE42856}"/>
            </c:ext>
          </c:extLst>
        </c:ser>
        <c:ser>
          <c:idx val="11"/>
          <c:order val="11"/>
          <c:tx>
            <c:v>x=0.002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-7.7226612326043735</c:v>
              </c:pt>
              <c:pt idx="1">
                <c:v>50.8</c:v>
              </c:pt>
            </c:numLit>
          </c:xVal>
          <c:yVal>
            <c:numLit>
              <c:formatCode>General</c:formatCode>
              <c:ptCount val="2"/>
              <c:pt idx="0">
                <c:v>2E-3</c:v>
              </c:pt>
              <c:pt idx="1">
                <c:v>2E-3</c:v>
              </c:pt>
            </c:numLit>
          </c:yVal>
          <c:smooth val="0"/>
          <c:extLst>
            <c:ext xmlns:c16="http://schemas.microsoft.com/office/drawing/2014/chart" uri="{C3380CC4-5D6E-409C-BE32-E72D297353CC}">
              <c16:uniqueId val="{0000000E-BD0B-42AB-8104-7FC8BCE42856}"/>
            </c:ext>
          </c:extLst>
        </c:ser>
        <c:ser>
          <c:idx val="12"/>
          <c:order val="12"/>
          <c:tx>
            <c:v>x=0.0022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2.2000000000000001E-3</c:v>
              </c:pt>
              <c:pt idx="1">
                <c:v>2.2000000000000001E-3</c:v>
              </c:pt>
            </c:numLit>
          </c:yVal>
          <c:smooth val="0"/>
          <c:extLst>
            <c:ext xmlns:c16="http://schemas.microsoft.com/office/drawing/2014/chart" uri="{C3380CC4-5D6E-409C-BE32-E72D297353CC}">
              <c16:uniqueId val="{0000000F-BD0B-42AB-8104-7FC8BCE42856}"/>
            </c:ext>
          </c:extLst>
        </c:ser>
        <c:ser>
          <c:idx val="13"/>
          <c:order val="13"/>
          <c:tx>
            <c:v>x=0.0024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2.4000000000000002E-3</c:v>
              </c:pt>
              <c:pt idx="1">
                <c:v>2.4000000000000002E-3</c:v>
              </c:pt>
            </c:numLit>
          </c:yVal>
          <c:smooth val="0"/>
          <c:extLst>
            <c:ext xmlns:c16="http://schemas.microsoft.com/office/drawing/2014/chart" uri="{C3380CC4-5D6E-409C-BE32-E72D297353CC}">
              <c16:uniqueId val="{00000010-BD0B-42AB-8104-7FC8BCE42856}"/>
            </c:ext>
          </c:extLst>
        </c:ser>
        <c:ser>
          <c:idx val="14"/>
          <c:order val="14"/>
          <c:tx>
            <c:v>x=0.0026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2.6000000000000003E-3</c:v>
              </c:pt>
              <c:pt idx="1">
                <c:v>2.6000000000000003E-3</c:v>
              </c:pt>
            </c:numLit>
          </c:yVal>
          <c:smooth val="0"/>
          <c:extLst>
            <c:ext xmlns:c16="http://schemas.microsoft.com/office/drawing/2014/chart" uri="{C3380CC4-5D6E-409C-BE32-E72D297353CC}">
              <c16:uniqueId val="{00000011-BD0B-42AB-8104-7FC8BCE42856}"/>
            </c:ext>
          </c:extLst>
        </c:ser>
        <c:ser>
          <c:idx val="15"/>
          <c:order val="15"/>
          <c:tx>
            <c:v>x=0.0028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2.8E-3</c:v>
              </c:pt>
              <c:pt idx="1">
                <c:v>2.8E-3</c:v>
              </c:pt>
            </c:numLit>
          </c:yVal>
          <c:smooth val="0"/>
          <c:extLst>
            <c:ext xmlns:c16="http://schemas.microsoft.com/office/drawing/2014/chart" uri="{C3380CC4-5D6E-409C-BE32-E72D297353CC}">
              <c16:uniqueId val="{00000012-BD0B-42AB-8104-7FC8BCE42856}"/>
            </c:ext>
          </c:extLst>
        </c:ser>
        <c:ser>
          <c:idx val="16"/>
          <c:order val="16"/>
          <c:tx>
            <c:v>x=0.003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-3.0828113320079522</c:v>
              </c:pt>
              <c:pt idx="1">
                <c:v>50.8</c:v>
              </c:pt>
            </c:numLit>
          </c:xVal>
          <c:yVal>
            <c:numLit>
              <c:formatCode>General</c:formatCode>
              <c:ptCount val="2"/>
              <c:pt idx="0">
                <c:v>3.0000000000000001E-3</c:v>
              </c:pt>
              <c:pt idx="1">
                <c:v>3.0000000000000001E-3</c:v>
              </c:pt>
            </c:numLit>
          </c:yVal>
          <c:smooth val="0"/>
          <c:extLst>
            <c:ext xmlns:c16="http://schemas.microsoft.com/office/drawing/2014/chart" uri="{C3380CC4-5D6E-409C-BE32-E72D297353CC}">
              <c16:uniqueId val="{00000014-BD0B-42AB-8104-7FC8BCE42856}"/>
            </c:ext>
          </c:extLst>
        </c:ser>
        <c:ser>
          <c:idx val="17"/>
          <c:order val="17"/>
          <c:tx>
            <c:v>x=0.0032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3.2000000000000002E-3</c:v>
              </c:pt>
              <c:pt idx="1">
                <c:v>3.2000000000000002E-3</c:v>
              </c:pt>
            </c:numLit>
          </c:yVal>
          <c:smooth val="0"/>
          <c:extLst>
            <c:ext xmlns:c16="http://schemas.microsoft.com/office/drawing/2014/chart" uri="{C3380CC4-5D6E-409C-BE32-E72D297353CC}">
              <c16:uniqueId val="{00000015-BD0B-42AB-8104-7FC8BCE42856}"/>
            </c:ext>
          </c:extLst>
        </c:ser>
        <c:ser>
          <c:idx val="18"/>
          <c:order val="18"/>
          <c:tx>
            <c:v>x=0.0034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3.4000000000000002E-3</c:v>
              </c:pt>
              <c:pt idx="1">
                <c:v>3.4000000000000002E-3</c:v>
              </c:pt>
            </c:numLit>
          </c:yVal>
          <c:smooth val="0"/>
          <c:extLst>
            <c:ext xmlns:c16="http://schemas.microsoft.com/office/drawing/2014/chart" uri="{C3380CC4-5D6E-409C-BE32-E72D297353CC}">
              <c16:uniqueId val="{00000016-BD0B-42AB-8104-7FC8BCE42856}"/>
            </c:ext>
          </c:extLst>
        </c:ser>
        <c:ser>
          <c:idx val="19"/>
          <c:order val="19"/>
          <c:tx>
            <c:v>x=0.0036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3.6000000000000003E-3</c:v>
              </c:pt>
              <c:pt idx="1">
                <c:v>3.6000000000000003E-3</c:v>
              </c:pt>
            </c:numLit>
          </c:yVal>
          <c:smooth val="0"/>
          <c:extLst>
            <c:ext xmlns:c16="http://schemas.microsoft.com/office/drawing/2014/chart" uri="{C3380CC4-5D6E-409C-BE32-E72D297353CC}">
              <c16:uniqueId val="{00000017-BD0B-42AB-8104-7FC8BCE42856}"/>
            </c:ext>
          </c:extLst>
        </c:ser>
        <c:ser>
          <c:idx val="20"/>
          <c:order val="20"/>
          <c:tx>
            <c:v>x=0.0038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3.8E-3</c:v>
              </c:pt>
              <c:pt idx="1">
                <c:v>3.8E-3</c:v>
              </c:pt>
            </c:numLit>
          </c:yVal>
          <c:smooth val="0"/>
          <c:extLst>
            <c:ext xmlns:c16="http://schemas.microsoft.com/office/drawing/2014/chart" uri="{C3380CC4-5D6E-409C-BE32-E72D297353CC}">
              <c16:uniqueId val="{00000018-BD0B-42AB-8104-7FC8BCE42856}"/>
            </c:ext>
          </c:extLst>
        </c:ser>
        <c:ser>
          <c:idx val="21"/>
          <c:order val="21"/>
          <c:tx>
            <c:v>x=0.004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0.37569145129224651</c:v>
              </c:pt>
              <c:pt idx="1">
                <c:v>50.8</c:v>
              </c:pt>
            </c:numLit>
          </c:xVal>
          <c:yVal>
            <c:numLit>
              <c:formatCode>General</c:formatCode>
              <c:ptCount val="2"/>
              <c:pt idx="0">
                <c:v>4.0000000000000001E-3</c:v>
              </c:pt>
              <c:pt idx="1">
                <c:v>4.0000000000000001E-3</c:v>
              </c:pt>
            </c:numLit>
          </c:yVal>
          <c:smooth val="0"/>
          <c:extLst>
            <c:ext xmlns:c16="http://schemas.microsoft.com/office/drawing/2014/chart" uri="{C3380CC4-5D6E-409C-BE32-E72D297353CC}">
              <c16:uniqueId val="{0000001A-BD0B-42AB-8104-7FC8BCE42856}"/>
            </c:ext>
          </c:extLst>
        </c:ser>
        <c:ser>
          <c:idx val="22"/>
          <c:order val="22"/>
          <c:tx>
            <c:v>x=0.0042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4.2000000000000006E-3</c:v>
              </c:pt>
              <c:pt idx="1">
                <c:v>4.2000000000000006E-3</c:v>
              </c:pt>
            </c:numLit>
          </c:yVal>
          <c:smooth val="0"/>
          <c:extLst>
            <c:ext xmlns:c16="http://schemas.microsoft.com/office/drawing/2014/chart" uri="{C3380CC4-5D6E-409C-BE32-E72D297353CC}">
              <c16:uniqueId val="{0000001B-BD0B-42AB-8104-7FC8BCE42856}"/>
            </c:ext>
          </c:extLst>
        </c:ser>
        <c:ser>
          <c:idx val="23"/>
          <c:order val="23"/>
          <c:tx>
            <c:v>x=0.0044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4.4000000000000003E-3</c:v>
              </c:pt>
              <c:pt idx="1">
                <c:v>4.4000000000000003E-3</c:v>
              </c:pt>
            </c:numLit>
          </c:yVal>
          <c:smooth val="0"/>
          <c:extLst>
            <c:ext xmlns:c16="http://schemas.microsoft.com/office/drawing/2014/chart" uri="{C3380CC4-5D6E-409C-BE32-E72D297353CC}">
              <c16:uniqueId val="{0000001C-BD0B-42AB-8104-7FC8BCE42856}"/>
            </c:ext>
          </c:extLst>
        </c:ser>
        <c:ser>
          <c:idx val="24"/>
          <c:order val="24"/>
          <c:tx>
            <c:v>x=0.0046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4.5999999999999999E-3</c:v>
              </c:pt>
              <c:pt idx="1">
                <c:v>4.5999999999999999E-3</c:v>
              </c:pt>
            </c:numLit>
          </c:yVal>
          <c:smooth val="0"/>
          <c:extLst>
            <c:ext xmlns:c16="http://schemas.microsoft.com/office/drawing/2014/chart" uri="{C3380CC4-5D6E-409C-BE32-E72D297353CC}">
              <c16:uniqueId val="{0000001D-BD0B-42AB-8104-7FC8BCE42856}"/>
            </c:ext>
          </c:extLst>
        </c:ser>
        <c:ser>
          <c:idx val="25"/>
          <c:order val="25"/>
          <c:tx>
            <c:v>x=0.0048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4.8000000000000004E-3</c:v>
              </c:pt>
              <c:pt idx="1">
                <c:v>4.8000000000000004E-3</c:v>
              </c:pt>
            </c:numLit>
          </c:yVal>
          <c:smooth val="0"/>
          <c:extLst>
            <c:ext xmlns:c16="http://schemas.microsoft.com/office/drawing/2014/chart" uri="{C3380CC4-5D6E-409C-BE32-E72D297353CC}">
              <c16:uniqueId val="{0000001E-BD0B-42AB-8104-7FC8BCE42856}"/>
            </c:ext>
          </c:extLst>
        </c:ser>
        <c:ser>
          <c:idx val="26"/>
          <c:order val="26"/>
          <c:tx>
            <c:v>x=0.005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3.4233648111332013</c:v>
              </c:pt>
              <c:pt idx="1">
                <c:v>50.8</c:v>
              </c:pt>
            </c:numLit>
          </c:xVal>
          <c:yVal>
            <c:numLit>
              <c:formatCode>General</c:formatCode>
              <c:ptCount val="2"/>
              <c:pt idx="0">
                <c:v>5.0000000000000001E-3</c:v>
              </c:pt>
              <c:pt idx="1">
                <c:v>5.0000000000000001E-3</c:v>
              </c:pt>
            </c:numLit>
          </c:yVal>
          <c:smooth val="0"/>
          <c:extLst>
            <c:ext xmlns:c16="http://schemas.microsoft.com/office/drawing/2014/chart" uri="{C3380CC4-5D6E-409C-BE32-E72D297353CC}">
              <c16:uniqueId val="{00000020-BD0B-42AB-8104-7FC8BCE42856}"/>
            </c:ext>
          </c:extLst>
        </c:ser>
        <c:ser>
          <c:idx val="27"/>
          <c:order val="27"/>
          <c:tx>
            <c:v>x=0.0052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5.2000000000000006E-3</c:v>
              </c:pt>
              <c:pt idx="1">
                <c:v>5.2000000000000006E-3</c:v>
              </c:pt>
            </c:numLit>
          </c:yVal>
          <c:smooth val="0"/>
          <c:extLst>
            <c:ext xmlns:c16="http://schemas.microsoft.com/office/drawing/2014/chart" uri="{C3380CC4-5D6E-409C-BE32-E72D297353CC}">
              <c16:uniqueId val="{00000021-BD0B-42AB-8104-7FC8BCE42856}"/>
            </c:ext>
          </c:extLst>
        </c:ser>
        <c:ser>
          <c:idx val="28"/>
          <c:order val="28"/>
          <c:tx>
            <c:v>x=0.0054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5.4000000000000003E-3</c:v>
              </c:pt>
              <c:pt idx="1">
                <c:v>5.4000000000000003E-3</c:v>
              </c:pt>
            </c:numLit>
          </c:yVal>
          <c:smooth val="0"/>
          <c:extLst>
            <c:ext xmlns:c16="http://schemas.microsoft.com/office/drawing/2014/chart" uri="{C3380CC4-5D6E-409C-BE32-E72D297353CC}">
              <c16:uniqueId val="{00000022-BD0B-42AB-8104-7FC8BCE42856}"/>
            </c:ext>
          </c:extLst>
        </c:ser>
        <c:ser>
          <c:idx val="29"/>
          <c:order val="29"/>
          <c:tx>
            <c:v>x=0.0056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5.5999999999999999E-3</c:v>
              </c:pt>
              <c:pt idx="1">
                <c:v>5.5999999999999999E-3</c:v>
              </c:pt>
            </c:numLit>
          </c:yVal>
          <c:smooth val="0"/>
          <c:extLst>
            <c:ext xmlns:c16="http://schemas.microsoft.com/office/drawing/2014/chart" uri="{C3380CC4-5D6E-409C-BE32-E72D297353CC}">
              <c16:uniqueId val="{00000023-BD0B-42AB-8104-7FC8BCE42856}"/>
            </c:ext>
          </c:extLst>
        </c:ser>
        <c:ser>
          <c:idx val="30"/>
          <c:order val="30"/>
          <c:tx>
            <c:v>x=0.0058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5.8000000000000005E-3</c:v>
              </c:pt>
              <c:pt idx="1">
                <c:v>5.8000000000000005E-3</c:v>
              </c:pt>
            </c:numLit>
          </c:yVal>
          <c:smooth val="0"/>
          <c:extLst>
            <c:ext xmlns:c16="http://schemas.microsoft.com/office/drawing/2014/chart" uri="{C3380CC4-5D6E-409C-BE32-E72D297353CC}">
              <c16:uniqueId val="{00000024-BD0B-42AB-8104-7FC8BCE42856}"/>
            </c:ext>
          </c:extLst>
        </c:ser>
        <c:ser>
          <c:idx val="31"/>
          <c:order val="31"/>
          <c:tx>
            <c:v>x=0.006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5.9567697813121274</c:v>
              </c:pt>
              <c:pt idx="1">
                <c:v>50.8</c:v>
              </c:pt>
            </c:numLit>
          </c:xVal>
          <c:yVal>
            <c:numLit>
              <c:formatCode>General</c:formatCode>
              <c:ptCount val="2"/>
              <c:pt idx="0">
                <c:v>6.0000000000000001E-3</c:v>
              </c:pt>
              <c:pt idx="1">
                <c:v>6.0000000000000001E-3</c:v>
              </c:pt>
            </c:numLit>
          </c:yVal>
          <c:smooth val="0"/>
          <c:extLst>
            <c:ext xmlns:c16="http://schemas.microsoft.com/office/drawing/2014/chart" uri="{C3380CC4-5D6E-409C-BE32-E72D297353CC}">
              <c16:uniqueId val="{00000026-BD0B-42AB-8104-7FC8BCE42856}"/>
            </c:ext>
          </c:extLst>
        </c:ser>
        <c:ser>
          <c:idx val="32"/>
          <c:order val="32"/>
          <c:tx>
            <c:v>x=0.0062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6.2000000000000006E-3</c:v>
              </c:pt>
              <c:pt idx="1">
                <c:v>6.2000000000000006E-3</c:v>
              </c:pt>
            </c:numLit>
          </c:yVal>
          <c:smooth val="0"/>
          <c:extLst>
            <c:ext xmlns:c16="http://schemas.microsoft.com/office/drawing/2014/chart" uri="{C3380CC4-5D6E-409C-BE32-E72D297353CC}">
              <c16:uniqueId val="{00000027-BD0B-42AB-8104-7FC8BCE42856}"/>
            </c:ext>
          </c:extLst>
        </c:ser>
        <c:ser>
          <c:idx val="33"/>
          <c:order val="33"/>
          <c:tx>
            <c:v>x=0.0064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6.4000000000000003E-3</c:v>
              </c:pt>
              <c:pt idx="1">
                <c:v>6.4000000000000003E-3</c:v>
              </c:pt>
            </c:numLit>
          </c:yVal>
          <c:smooth val="0"/>
          <c:extLst>
            <c:ext xmlns:c16="http://schemas.microsoft.com/office/drawing/2014/chart" uri="{C3380CC4-5D6E-409C-BE32-E72D297353CC}">
              <c16:uniqueId val="{00000028-BD0B-42AB-8104-7FC8BCE42856}"/>
            </c:ext>
          </c:extLst>
        </c:ser>
        <c:ser>
          <c:idx val="34"/>
          <c:order val="34"/>
          <c:tx>
            <c:v>x=0.0066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6.6E-3</c:v>
              </c:pt>
              <c:pt idx="1">
                <c:v>6.6E-3</c:v>
              </c:pt>
            </c:numLit>
          </c:yVal>
          <c:smooth val="0"/>
          <c:extLst>
            <c:ext xmlns:c16="http://schemas.microsoft.com/office/drawing/2014/chart" uri="{C3380CC4-5D6E-409C-BE32-E72D297353CC}">
              <c16:uniqueId val="{00000029-BD0B-42AB-8104-7FC8BCE42856}"/>
            </c:ext>
          </c:extLst>
        </c:ser>
        <c:ser>
          <c:idx val="35"/>
          <c:order val="35"/>
          <c:tx>
            <c:v>x=0.0068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6.8000000000000005E-3</c:v>
              </c:pt>
              <c:pt idx="1">
                <c:v>6.8000000000000005E-3</c:v>
              </c:pt>
            </c:numLit>
          </c:yVal>
          <c:smooth val="0"/>
          <c:extLst>
            <c:ext xmlns:c16="http://schemas.microsoft.com/office/drawing/2014/chart" uri="{C3380CC4-5D6E-409C-BE32-E72D297353CC}">
              <c16:uniqueId val="{0000002A-BD0B-42AB-8104-7FC8BCE42856}"/>
            </c:ext>
          </c:extLst>
        </c:ser>
        <c:ser>
          <c:idx val="36"/>
          <c:order val="36"/>
          <c:tx>
            <c:v>x=0.007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8.145222266401591</c:v>
              </c:pt>
              <c:pt idx="1">
                <c:v>50.8</c:v>
              </c:pt>
            </c:numLit>
          </c:xVal>
          <c:yVal>
            <c:numLit>
              <c:formatCode>General</c:formatCode>
              <c:ptCount val="2"/>
              <c:pt idx="0">
                <c:v>7.0000000000000001E-3</c:v>
              </c:pt>
              <c:pt idx="1">
                <c:v>7.0000000000000001E-3</c:v>
              </c:pt>
            </c:numLit>
          </c:yVal>
          <c:smooth val="0"/>
          <c:extLst>
            <c:ext xmlns:c16="http://schemas.microsoft.com/office/drawing/2014/chart" uri="{C3380CC4-5D6E-409C-BE32-E72D297353CC}">
              <c16:uniqueId val="{0000002C-BD0B-42AB-8104-7FC8BCE42856}"/>
            </c:ext>
          </c:extLst>
        </c:ser>
        <c:ser>
          <c:idx val="37"/>
          <c:order val="37"/>
          <c:tx>
            <c:v>x=0.0072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7.2000000000000007E-3</c:v>
              </c:pt>
              <c:pt idx="1">
                <c:v>7.2000000000000007E-3</c:v>
              </c:pt>
            </c:numLit>
          </c:yVal>
          <c:smooth val="0"/>
          <c:extLst>
            <c:ext xmlns:c16="http://schemas.microsoft.com/office/drawing/2014/chart" uri="{C3380CC4-5D6E-409C-BE32-E72D297353CC}">
              <c16:uniqueId val="{0000002D-BD0B-42AB-8104-7FC8BCE42856}"/>
            </c:ext>
          </c:extLst>
        </c:ser>
        <c:ser>
          <c:idx val="38"/>
          <c:order val="38"/>
          <c:tx>
            <c:v>x=0.0074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7.4000000000000003E-3</c:v>
              </c:pt>
              <c:pt idx="1">
                <c:v>7.4000000000000003E-3</c:v>
              </c:pt>
            </c:numLit>
          </c:yVal>
          <c:smooth val="0"/>
          <c:extLst>
            <c:ext xmlns:c16="http://schemas.microsoft.com/office/drawing/2014/chart" uri="{C3380CC4-5D6E-409C-BE32-E72D297353CC}">
              <c16:uniqueId val="{0000002E-BD0B-42AB-8104-7FC8BCE42856}"/>
            </c:ext>
          </c:extLst>
        </c:ser>
        <c:ser>
          <c:idx val="39"/>
          <c:order val="39"/>
          <c:tx>
            <c:v>x=0.0076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7.6E-3</c:v>
              </c:pt>
              <c:pt idx="1">
                <c:v>7.6E-3</c:v>
              </c:pt>
            </c:numLit>
          </c:yVal>
          <c:smooth val="0"/>
          <c:extLst>
            <c:ext xmlns:c16="http://schemas.microsoft.com/office/drawing/2014/chart" uri="{C3380CC4-5D6E-409C-BE32-E72D297353CC}">
              <c16:uniqueId val="{0000002F-BD0B-42AB-8104-7FC8BCE42856}"/>
            </c:ext>
          </c:extLst>
        </c:ser>
        <c:ser>
          <c:idx val="40"/>
          <c:order val="40"/>
          <c:tx>
            <c:v>x=0.0078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7.8000000000000005E-3</c:v>
              </c:pt>
              <c:pt idx="1">
                <c:v>7.8000000000000005E-3</c:v>
              </c:pt>
            </c:numLit>
          </c:yVal>
          <c:smooth val="0"/>
          <c:extLst>
            <c:ext xmlns:c16="http://schemas.microsoft.com/office/drawing/2014/chart" uri="{C3380CC4-5D6E-409C-BE32-E72D297353CC}">
              <c16:uniqueId val="{00000030-BD0B-42AB-8104-7FC8BCE42856}"/>
            </c:ext>
          </c:extLst>
        </c:ser>
        <c:ser>
          <c:idx val="41"/>
          <c:order val="41"/>
          <c:tx>
            <c:v>x=0.008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10.057816302186881</c:v>
              </c:pt>
              <c:pt idx="1">
                <c:v>50.8</c:v>
              </c:pt>
            </c:numLit>
          </c:xVal>
          <c:yVal>
            <c:numLit>
              <c:formatCode>General</c:formatCode>
              <c:ptCount val="2"/>
              <c:pt idx="0">
                <c:v>8.0000000000000002E-3</c:v>
              </c:pt>
              <c:pt idx="1">
                <c:v>8.0000000000000002E-3</c:v>
              </c:pt>
            </c:numLit>
          </c:yVal>
          <c:smooth val="0"/>
          <c:extLst>
            <c:ext xmlns:c16="http://schemas.microsoft.com/office/drawing/2014/chart" uri="{C3380CC4-5D6E-409C-BE32-E72D297353CC}">
              <c16:uniqueId val="{00000032-BD0B-42AB-8104-7FC8BCE42856}"/>
            </c:ext>
          </c:extLst>
        </c:ser>
        <c:ser>
          <c:idx val="42"/>
          <c:order val="42"/>
          <c:tx>
            <c:v>x=0.0082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8.2000000000000007E-3</c:v>
              </c:pt>
              <c:pt idx="1">
                <c:v>8.2000000000000007E-3</c:v>
              </c:pt>
            </c:numLit>
          </c:yVal>
          <c:smooth val="0"/>
          <c:extLst>
            <c:ext xmlns:c16="http://schemas.microsoft.com/office/drawing/2014/chart" uri="{C3380CC4-5D6E-409C-BE32-E72D297353CC}">
              <c16:uniqueId val="{00000033-BD0B-42AB-8104-7FC8BCE42856}"/>
            </c:ext>
          </c:extLst>
        </c:ser>
        <c:ser>
          <c:idx val="43"/>
          <c:order val="43"/>
          <c:tx>
            <c:v>x=0.0084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8.4000000000000012E-3</c:v>
              </c:pt>
              <c:pt idx="1">
                <c:v>8.4000000000000012E-3</c:v>
              </c:pt>
            </c:numLit>
          </c:yVal>
          <c:smooth val="0"/>
          <c:extLst>
            <c:ext xmlns:c16="http://schemas.microsoft.com/office/drawing/2014/chart" uri="{C3380CC4-5D6E-409C-BE32-E72D297353CC}">
              <c16:uniqueId val="{00000034-BD0B-42AB-8104-7FC8BCE42856}"/>
            </c:ext>
          </c:extLst>
        </c:ser>
        <c:ser>
          <c:idx val="44"/>
          <c:order val="44"/>
          <c:tx>
            <c:v>x=0.0086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8.6E-3</c:v>
              </c:pt>
              <c:pt idx="1">
                <c:v>8.6E-3</c:v>
              </c:pt>
            </c:numLit>
          </c:yVal>
          <c:smooth val="0"/>
          <c:extLst>
            <c:ext xmlns:c16="http://schemas.microsoft.com/office/drawing/2014/chart" uri="{C3380CC4-5D6E-409C-BE32-E72D297353CC}">
              <c16:uniqueId val="{00000035-BD0B-42AB-8104-7FC8BCE42856}"/>
            </c:ext>
          </c:extLst>
        </c:ser>
        <c:ser>
          <c:idx val="45"/>
          <c:order val="45"/>
          <c:tx>
            <c:v>x=0.0088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8.8000000000000005E-3</c:v>
              </c:pt>
              <c:pt idx="1">
                <c:v>8.8000000000000005E-3</c:v>
              </c:pt>
            </c:numLit>
          </c:yVal>
          <c:smooth val="0"/>
          <c:extLst>
            <c:ext xmlns:c16="http://schemas.microsoft.com/office/drawing/2014/chart" uri="{C3380CC4-5D6E-409C-BE32-E72D297353CC}">
              <c16:uniqueId val="{00000036-BD0B-42AB-8104-7FC8BCE42856}"/>
            </c:ext>
          </c:extLst>
        </c:ser>
        <c:ser>
          <c:idx val="46"/>
          <c:order val="46"/>
          <c:tx>
            <c:v>x=0.009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0.009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11.774330019880717</c:v>
              </c:pt>
              <c:pt idx="1">
                <c:v>50.8</c:v>
              </c:pt>
            </c:numLit>
          </c:xVal>
          <c:yVal>
            <c:numLit>
              <c:formatCode>General</c:formatCode>
              <c:ptCount val="2"/>
              <c:pt idx="0">
                <c:v>9.0000000000000011E-3</c:v>
              </c:pt>
              <c:pt idx="1">
                <c:v>9.0000000000000011E-3</c:v>
              </c:pt>
            </c:numLit>
          </c:yVal>
          <c:smooth val="0"/>
          <c:extLst>
            <c:ext xmlns:c16="http://schemas.microsoft.com/office/drawing/2014/chart" uri="{C3380CC4-5D6E-409C-BE32-E72D297353CC}">
              <c16:uniqueId val="{00000038-BD0B-42AB-8104-7FC8BCE42856}"/>
            </c:ext>
          </c:extLst>
        </c:ser>
        <c:ser>
          <c:idx val="47"/>
          <c:order val="47"/>
          <c:tx>
            <c:v>x=0.0092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9.1999999999999998E-3</c:v>
              </c:pt>
              <c:pt idx="1">
                <c:v>9.1999999999999998E-3</c:v>
              </c:pt>
            </c:numLit>
          </c:yVal>
          <c:smooth val="0"/>
          <c:extLst>
            <c:ext xmlns:c16="http://schemas.microsoft.com/office/drawing/2014/chart" uri="{C3380CC4-5D6E-409C-BE32-E72D297353CC}">
              <c16:uniqueId val="{00000039-BD0B-42AB-8104-7FC8BCE42856}"/>
            </c:ext>
          </c:extLst>
        </c:ser>
        <c:ser>
          <c:idx val="48"/>
          <c:order val="48"/>
          <c:tx>
            <c:v>x=0.0094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9.4000000000000004E-3</c:v>
              </c:pt>
              <c:pt idx="1">
                <c:v>9.4000000000000004E-3</c:v>
              </c:pt>
            </c:numLit>
          </c:yVal>
          <c:smooth val="0"/>
          <c:extLst>
            <c:ext xmlns:c16="http://schemas.microsoft.com/office/drawing/2014/chart" uri="{C3380CC4-5D6E-409C-BE32-E72D297353CC}">
              <c16:uniqueId val="{0000003A-BD0B-42AB-8104-7FC8BCE42856}"/>
            </c:ext>
          </c:extLst>
        </c:ser>
        <c:ser>
          <c:idx val="49"/>
          <c:order val="49"/>
          <c:tx>
            <c:v>x=0.0096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9.6000000000000009E-3</c:v>
              </c:pt>
              <c:pt idx="1">
                <c:v>9.6000000000000009E-3</c:v>
              </c:pt>
            </c:numLit>
          </c:yVal>
          <c:smooth val="0"/>
          <c:extLst>
            <c:ext xmlns:c16="http://schemas.microsoft.com/office/drawing/2014/chart" uri="{C3380CC4-5D6E-409C-BE32-E72D297353CC}">
              <c16:uniqueId val="{0000003B-BD0B-42AB-8104-7FC8BCE42856}"/>
            </c:ext>
          </c:extLst>
        </c:ser>
        <c:ser>
          <c:idx val="50"/>
          <c:order val="50"/>
          <c:tx>
            <c:v>x=0.0098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9.7999999999999997E-3</c:v>
              </c:pt>
              <c:pt idx="1">
                <c:v>9.7999999999999997E-3</c:v>
              </c:pt>
            </c:numLit>
          </c:yVal>
          <c:smooth val="0"/>
          <c:extLst>
            <c:ext xmlns:c16="http://schemas.microsoft.com/office/drawing/2014/chart" uri="{C3380CC4-5D6E-409C-BE32-E72D297353CC}">
              <c16:uniqueId val="{0000003C-BD0B-42AB-8104-7FC8BCE42856}"/>
            </c:ext>
          </c:extLst>
        </c:ser>
        <c:ser>
          <c:idx val="51"/>
          <c:order val="51"/>
          <c:tx>
            <c:v>x=0.01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13.314023856858848</c:v>
              </c:pt>
              <c:pt idx="1">
                <c:v>50.8</c:v>
              </c:pt>
            </c:numLit>
          </c:xVal>
          <c:yVal>
            <c:numLit>
              <c:formatCode>General</c:formatCode>
              <c:ptCount val="2"/>
              <c:pt idx="0">
                <c:v>0.01</c:v>
              </c:pt>
              <c:pt idx="1">
                <c:v>0.01</c:v>
              </c:pt>
            </c:numLit>
          </c:yVal>
          <c:smooth val="0"/>
          <c:extLst>
            <c:ext xmlns:c16="http://schemas.microsoft.com/office/drawing/2014/chart" uri="{C3380CC4-5D6E-409C-BE32-E72D297353CC}">
              <c16:uniqueId val="{0000003E-BD0B-42AB-8104-7FC8BCE42856}"/>
            </c:ext>
          </c:extLst>
        </c:ser>
        <c:ser>
          <c:idx val="52"/>
          <c:order val="52"/>
          <c:tx>
            <c:v>x=0.0102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1.0200000000000001E-2</c:v>
              </c:pt>
              <c:pt idx="1">
                <c:v>1.0200000000000001E-2</c:v>
              </c:pt>
            </c:numLit>
          </c:yVal>
          <c:smooth val="0"/>
          <c:extLst>
            <c:ext xmlns:c16="http://schemas.microsoft.com/office/drawing/2014/chart" uri="{C3380CC4-5D6E-409C-BE32-E72D297353CC}">
              <c16:uniqueId val="{0000003F-BD0B-42AB-8104-7FC8BCE42856}"/>
            </c:ext>
          </c:extLst>
        </c:ser>
        <c:ser>
          <c:idx val="53"/>
          <c:order val="53"/>
          <c:tx>
            <c:v>x=0.0104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1.0400000000000001E-2</c:v>
              </c:pt>
              <c:pt idx="1">
                <c:v>1.0400000000000001E-2</c:v>
              </c:pt>
            </c:numLit>
          </c:yVal>
          <c:smooth val="0"/>
          <c:extLst>
            <c:ext xmlns:c16="http://schemas.microsoft.com/office/drawing/2014/chart" uri="{C3380CC4-5D6E-409C-BE32-E72D297353CC}">
              <c16:uniqueId val="{00000040-BD0B-42AB-8104-7FC8BCE42856}"/>
            </c:ext>
          </c:extLst>
        </c:ser>
        <c:ser>
          <c:idx val="54"/>
          <c:order val="54"/>
          <c:tx>
            <c:v>x=0.0106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1.06E-2</c:v>
              </c:pt>
              <c:pt idx="1">
                <c:v>1.06E-2</c:v>
              </c:pt>
            </c:numLit>
          </c:yVal>
          <c:smooth val="0"/>
          <c:extLst>
            <c:ext xmlns:c16="http://schemas.microsoft.com/office/drawing/2014/chart" uri="{C3380CC4-5D6E-409C-BE32-E72D297353CC}">
              <c16:uniqueId val="{00000041-BD0B-42AB-8104-7FC8BCE42856}"/>
            </c:ext>
          </c:extLst>
        </c:ser>
        <c:ser>
          <c:idx val="55"/>
          <c:order val="55"/>
          <c:tx>
            <c:v>x=0.0108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1.0800000000000001E-2</c:v>
              </c:pt>
              <c:pt idx="1">
                <c:v>1.0800000000000001E-2</c:v>
              </c:pt>
            </c:numLit>
          </c:yVal>
          <c:smooth val="0"/>
          <c:extLst>
            <c:ext xmlns:c16="http://schemas.microsoft.com/office/drawing/2014/chart" uri="{C3380CC4-5D6E-409C-BE32-E72D297353CC}">
              <c16:uniqueId val="{00000042-BD0B-42AB-8104-7FC8BCE42856}"/>
            </c:ext>
          </c:extLst>
        </c:ser>
        <c:ser>
          <c:idx val="56"/>
          <c:order val="56"/>
          <c:tx>
            <c:v>x=0.011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14.726916302186879</c:v>
              </c:pt>
              <c:pt idx="1">
                <c:v>50.8</c:v>
              </c:pt>
            </c:numLit>
          </c:xVal>
          <c:yVal>
            <c:numLit>
              <c:formatCode>General</c:formatCode>
              <c:ptCount val="2"/>
              <c:pt idx="0">
                <c:v>1.1000000000000001E-2</c:v>
              </c:pt>
              <c:pt idx="1">
                <c:v>1.1000000000000001E-2</c:v>
              </c:pt>
            </c:numLit>
          </c:yVal>
          <c:smooth val="0"/>
          <c:extLst>
            <c:ext xmlns:c16="http://schemas.microsoft.com/office/drawing/2014/chart" uri="{C3380CC4-5D6E-409C-BE32-E72D297353CC}">
              <c16:uniqueId val="{00000044-BD0B-42AB-8104-7FC8BCE42856}"/>
            </c:ext>
          </c:extLst>
        </c:ser>
        <c:ser>
          <c:idx val="57"/>
          <c:order val="57"/>
          <c:tx>
            <c:v>x=0.0112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1.12E-2</c:v>
              </c:pt>
              <c:pt idx="1">
                <c:v>1.12E-2</c:v>
              </c:pt>
            </c:numLit>
          </c:yVal>
          <c:smooth val="0"/>
          <c:extLst>
            <c:ext xmlns:c16="http://schemas.microsoft.com/office/drawing/2014/chart" uri="{C3380CC4-5D6E-409C-BE32-E72D297353CC}">
              <c16:uniqueId val="{00000045-BD0B-42AB-8104-7FC8BCE42856}"/>
            </c:ext>
          </c:extLst>
        </c:ser>
        <c:ser>
          <c:idx val="58"/>
          <c:order val="58"/>
          <c:tx>
            <c:v>x=0.0114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1.14E-2</c:v>
              </c:pt>
              <c:pt idx="1">
                <c:v>1.14E-2</c:v>
              </c:pt>
            </c:numLit>
          </c:yVal>
          <c:smooth val="0"/>
          <c:extLst>
            <c:ext xmlns:c16="http://schemas.microsoft.com/office/drawing/2014/chart" uri="{C3380CC4-5D6E-409C-BE32-E72D297353CC}">
              <c16:uniqueId val="{00000046-BD0B-42AB-8104-7FC8BCE42856}"/>
            </c:ext>
          </c:extLst>
        </c:ser>
        <c:ser>
          <c:idx val="59"/>
          <c:order val="59"/>
          <c:tx>
            <c:v>x=0.0116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1.1600000000000001E-2</c:v>
              </c:pt>
              <c:pt idx="1">
                <c:v>1.1600000000000001E-2</c:v>
              </c:pt>
            </c:numLit>
          </c:yVal>
          <c:smooth val="0"/>
          <c:extLst>
            <c:ext xmlns:c16="http://schemas.microsoft.com/office/drawing/2014/chart" uri="{C3380CC4-5D6E-409C-BE32-E72D297353CC}">
              <c16:uniqueId val="{00000047-BD0B-42AB-8104-7FC8BCE42856}"/>
            </c:ext>
          </c:extLst>
        </c:ser>
        <c:ser>
          <c:idx val="60"/>
          <c:order val="60"/>
          <c:tx>
            <c:v>x=0.0118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1.18E-2</c:v>
              </c:pt>
              <c:pt idx="1">
                <c:v>1.18E-2</c:v>
              </c:pt>
            </c:numLit>
          </c:yVal>
          <c:smooth val="0"/>
          <c:extLst>
            <c:ext xmlns:c16="http://schemas.microsoft.com/office/drawing/2014/chart" uri="{C3380CC4-5D6E-409C-BE32-E72D297353CC}">
              <c16:uniqueId val="{00000048-BD0B-42AB-8104-7FC8BCE42856}"/>
            </c:ext>
          </c:extLst>
        </c:ser>
        <c:ser>
          <c:idx val="61"/>
          <c:order val="61"/>
          <c:tx>
            <c:v>x=0.012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16.032730019880717</c:v>
              </c:pt>
              <c:pt idx="1">
                <c:v>50.8</c:v>
              </c:pt>
            </c:numLit>
          </c:xVal>
          <c:yVal>
            <c:numLit>
              <c:formatCode>General</c:formatCode>
              <c:ptCount val="2"/>
              <c:pt idx="0">
                <c:v>1.2E-2</c:v>
              </c:pt>
              <c:pt idx="1">
                <c:v>1.2E-2</c:v>
              </c:pt>
            </c:numLit>
          </c:yVal>
          <c:smooth val="0"/>
          <c:extLst>
            <c:ext xmlns:c16="http://schemas.microsoft.com/office/drawing/2014/chart" uri="{C3380CC4-5D6E-409C-BE32-E72D297353CC}">
              <c16:uniqueId val="{0000004A-BD0B-42AB-8104-7FC8BCE42856}"/>
            </c:ext>
          </c:extLst>
        </c:ser>
        <c:ser>
          <c:idx val="62"/>
          <c:order val="62"/>
          <c:tx>
            <c:v>x=0.0122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1.2200000000000001E-2</c:v>
              </c:pt>
              <c:pt idx="1">
                <c:v>1.2200000000000001E-2</c:v>
              </c:pt>
            </c:numLit>
          </c:yVal>
          <c:smooth val="0"/>
          <c:extLst>
            <c:ext xmlns:c16="http://schemas.microsoft.com/office/drawing/2014/chart" uri="{C3380CC4-5D6E-409C-BE32-E72D297353CC}">
              <c16:uniqueId val="{0000004B-BD0B-42AB-8104-7FC8BCE42856}"/>
            </c:ext>
          </c:extLst>
        </c:ser>
        <c:ser>
          <c:idx val="63"/>
          <c:order val="63"/>
          <c:tx>
            <c:v>x=0.0124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1.2400000000000001E-2</c:v>
              </c:pt>
              <c:pt idx="1">
                <c:v>1.2400000000000001E-2</c:v>
              </c:pt>
            </c:numLit>
          </c:yVal>
          <c:smooth val="0"/>
          <c:extLst>
            <c:ext xmlns:c16="http://schemas.microsoft.com/office/drawing/2014/chart" uri="{C3380CC4-5D6E-409C-BE32-E72D297353CC}">
              <c16:uniqueId val="{0000004C-BD0B-42AB-8104-7FC8BCE42856}"/>
            </c:ext>
          </c:extLst>
        </c:ser>
        <c:ser>
          <c:idx val="64"/>
          <c:order val="64"/>
          <c:tx>
            <c:v>x=0.0126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1.26E-2</c:v>
              </c:pt>
              <c:pt idx="1">
                <c:v>1.26E-2</c:v>
              </c:pt>
            </c:numLit>
          </c:yVal>
          <c:smooth val="0"/>
          <c:extLst>
            <c:ext xmlns:c16="http://schemas.microsoft.com/office/drawing/2014/chart" uri="{C3380CC4-5D6E-409C-BE32-E72D297353CC}">
              <c16:uniqueId val="{0000004D-BD0B-42AB-8104-7FC8BCE42856}"/>
            </c:ext>
          </c:extLst>
        </c:ser>
        <c:ser>
          <c:idx val="65"/>
          <c:order val="65"/>
          <c:tx>
            <c:v>x=0.0128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1.2800000000000001E-2</c:v>
              </c:pt>
              <c:pt idx="1">
                <c:v>1.2800000000000001E-2</c:v>
              </c:pt>
            </c:numLit>
          </c:yVal>
          <c:smooth val="0"/>
          <c:extLst>
            <c:ext xmlns:c16="http://schemas.microsoft.com/office/drawing/2014/chart" uri="{C3380CC4-5D6E-409C-BE32-E72D297353CC}">
              <c16:uniqueId val="{0000004E-BD0B-42AB-8104-7FC8BCE42856}"/>
            </c:ext>
          </c:extLst>
        </c:ser>
        <c:ser>
          <c:idx val="66"/>
          <c:order val="66"/>
          <c:tx>
            <c:v>x=0.013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17.241095228628232</c:v>
              </c:pt>
              <c:pt idx="1">
                <c:v>50.8</c:v>
              </c:pt>
            </c:numLit>
          </c:xVal>
          <c:yVal>
            <c:numLit>
              <c:formatCode>General</c:formatCode>
              <c:ptCount val="2"/>
              <c:pt idx="0">
                <c:v>1.3000000000000001E-2</c:v>
              </c:pt>
              <c:pt idx="1">
                <c:v>1.3000000000000001E-2</c:v>
              </c:pt>
            </c:numLit>
          </c:yVal>
          <c:smooth val="0"/>
          <c:extLst>
            <c:ext xmlns:c16="http://schemas.microsoft.com/office/drawing/2014/chart" uri="{C3380CC4-5D6E-409C-BE32-E72D297353CC}">
              <c16:uniqueId val="{00000050-BD0B-42AB-8104-7FC8BCE42856}"/>
            </c:ext>
          </c:extLst>
        </c:ser>
        <c:ser>
          <c:idx val="67"/>
          <c:order val="67"/>
          <c:tx>
            <c:v>x=0.0132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1.32E-2</c:v>
              </c:pt>
              <c:pt idx="1">
                <c:v>1.32E-2</c:v>
              </c:pt>
            </c:numLit>
          </c:yVal>
          <c:smooth val="0"/>
          <c:extLst>
            <c:ext xmlns:c16="http://schemas.microsoft.com/office/drawing/2014/chart" uri="{C3380CC4-5D6E-409C-BE32-E72D297353CC}">
              <c16:uniqueId val="{00000051-BD0B-42AB-8104-7FC8BCE42856}"/>
            </c:ext>
          </c:extLst>
        </c:ser>
        <c:ser>
          <c:idx val="68"/>
          <c:order val="68"/>
          <c:tx>
            <c:v>x=0.0134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1.34E-2</c:v>
              </c:pt>
              <c:pt idx="1">
                <c:v>1.34E-2</c:v>
              </c:pt>
            </c:numLit>
          </c:yVal>
          <c:smooth val="0"/>
          <c:extLst>
            <c:ext xmlns:c16="http://schemas.microsoft.com/office/drawing/2014/chart" uri="{C3380CC4-5D6E-409C-BE32-E72D297353CC}">
              <c16:uniqueId val="{00000052-BD0B-42AB-8104-7FC8BCE42856}"/>
            </c:ext>
          </c:extLst>
        </c:ser>
        <c:ser>
          <c:idx val="69"/>
          <c:order val="69"/>
          <c:tx>
            <c:v>x=0.0136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1.3600000000000001E-2</c:v>
              </c:pt>
              <c:pt idx="1">
                <c:v>1.3600000000000001E-2</c:v>
              </c:pt>
            </c:numLit>
          </c:yVal>
          <c:smooth val="0"/>
          <c:extLst>
            <c:ext xmlns:c16="http://schemas.microsoft.com/office/drawing/2014/chart" uri="{C3380CC4-5D6E-409C-BE32-E72D297353CC}">
              <c16:uniqueId val="{00000053-BD0B-42AB-8104-7FC8BCE42856}"/>
            </c:ext>
          </c:extLst>
        </c:ser>
        <c:ser>
          <c:idx val="70"/>
          <c:order val="70"/>
          <c:tx>
            <c:v>x=0.0138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1.3800000000000002E-2</c:v>
              </c:pt>
              <c:pt idx="1">
                <c:v>1.3800000000000002E-2</c:v>
              </c:pt>
            </c:numLit>
          </c:yVal>
          <c:smooth val="0"/>
          <c:extLst>
            <c:ext xmlns:c16="http://schemas.microsoft.com/office/drawing/2014/chart" uri="{C3380CC4-5D6E-409C-BE32-E72D297353CC}">
              <c16:uniqueId val="{00000054-BD0B-42AB-8104-7FC8BCE42856}"/>
            </c:ext>
          </c:extLst>
        </c:ser>
        <c:ser>
          <c:idx val="71"/>
          <c:order val="71"/>
          <c:tx>
            <c:v>x=0.014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18.371974950298213</c:v>
              </c:pt>
              <c:pt idx="1">
                <c:v>50.8</c:v>
              </c:pt>
            </c:numLit>
          </c:xVal>
          <c:yVal>
            <c:numLit>
              <c:formatCode>General</c:formatCode>
              <c:ptCount val="2"/>
              <c:pt idx="0">
                <c:v>1.4E-2</c:v>
              </c:pt>
              <c:pt idx="1">
                <c:v>1.4E-2</c:v>
              </c:pt>
            </c:numLit>
          </c:yVal>
          <c:smooth val="0"/>
          <c:extLst>
            <c:ext xmlns:c16="http://schemas.microsoft.com/office/drawing/2014/chart" uri="{C3380CC4-5D6E-409C-BE32-E72D297353CC}">
              <c16:uniqueId val="{00000056-BD0B-42AB-8104-7FC8BCE42856}"/>
            </c:ext>
          </c:extLst>
        </c:ser>
        <c:ser>
          <c:idx val="72"/>
          <c:order val="72"/>
          <c:tx>
            <c:v>x=0.0142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1.4200000000000001E-2</c:v>
              </c:pt>
              <c:pt idx="1">
                <c:v>1.4200000000000001E-2</c:v>
              </c:pt>
            </c:numLit>
          </c:yVal>
          <c:smooth val="0"/>
          <c:extLst>
            <c:ext xmlns:c16="http://schemas.microsoft.com/office/drawing/2014/chart" uri="{C3380CC4-5D6E-409C-BE32-E72D297353CC}">
              <c16:uniqueId val="{00000057-BD0B-42AB-8104-7FC8BCE42856}"/>
            </c:ext>
          </c:extLst>
        </c:ser>
        <c:ser>
          <c:idx val="73"/>
          <c:order val="73"/>
          <c:tx>
            <c:v>x=0.0144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1.4400000000000001E-2</c:v>
              </c:pt>
              <c:pt idx="1">
                <c:v>1.4400000000000001E-2</c:v>
              </c:pt>
            </c:numLit>
          </c:yVal>
          <c:smooth val="0"/>
          <c:extLst>
            <c:ext xmlns:c16="http://schemas.microsoft.com/office/drawing/2014/chart" uri="{C3380CC4-5D6E-409C-BE32-E72D297353CC}">
              <c16:uniqueId val="{00000058-BD0B-42AB-8104-7FC8BCE42856}"/>
            </c:ext>
          </c:extLst>
        </c:ser>
        <c:ser>
          <c:idx val="74"/>
          <c:order val="74"/>
          <c:tx>
            <c:v>x=0.0146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1.46E-2</c:v>
              </c:pt>
              <c:pt idx="1">
                <c:v>1.46E-2</c:v>
              </c:pt>
            </c:numLit>
          </c:yVal>
          <c:smooth val="0"/>
          <c:extLst>
            <c:ext xmlns:c16="http://schemas.microsoft.com/office/drawing/2014/chart" uri="{C3380CC4-5D6E-409C-BE32-E72D297353CC}">
              <c16:uniqueId val="{00000059-BD0B-42AB-8104-7FC8BCE42856}"/>
            </c:ext>
          </c:extLst>
        </c:ser>
        <c:ser>
          <c:idx val="75"/>
          <c:order val="75"/>
          <c:tx>
            <c:v>x=0.0148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1.4800000000000001E-2</c:v>
              </c:pt>
              <c:pt idx="1">
                <c:v>1.4800000000000001E-2</c:v>
              </c:pt>
            </c:numLit>
          </c:yVal>
          <c:smooth val="0"/>
          <c:extLst>
            <c:ext xmlns:c16="http://schemas.microsoft.com/office/drawing/2014/chart" uri="{C3380CC4-5D6E-409C-BE32-E72D297353CC}">
              <c16:uniqueId val="{0000005A-BD0B-42AB-8104-7FC8BCE42856}"/>
            </c:ext>
          </c:extLst>
        </c:ser>
        <c:ser>
          <c:idx val="76"/>
          <c:order val="76"/>
          <c:tx>
            <c:v>x=0.015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19.435202783300202</c:v>
              </c:pt>
              <c:pt idx="1">
                <c:v>50.8</c:v>
              </c:pt>
            </c:numLit>
          </c:xVal>
          <c:yVal>
            <c:numLit>
              <c:formatCode>General</c:formatCode>
              <c:ptCount val="2"/>
              <c:pt idx="0">
                <c:v>1.5000000000000001E-2</c:v>
              </c:pt>
              <c:pt idx="1">
                <c:v>1.5000000000000001E-2</c:v>
              </c:pt>
            </c:numLit>
          </c:yVal>
          <c:smooth val="0"/>
          <c:extLst>
            <c:ext xmlns:c16="http://schemas.microsoft.com/office/drawing/2014/chart" uri="{C3380CC4-5D6E-409C-BE32-E72D297353CC}">
              <c16:uniqueId val="{0000005C-BD0B-42AB-8104-7FC8BCE42856}"/>
            </c:ext>
          </c:extLst>
        </c:ser>
        <c:ser>
          <c:idx val="77"/>
          <c:order val="77"/>
          <c:tx>
            <c:v>x=0.0152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1.52E-2</c:v>
              </c:pt>
              <c:pt idx="1">
                <c:v>1.52E-2</c:v>
              </c:pt>
            </c:numLit>
          </c:yVal>
          <c:smooth val="0"/>
          <c:extLst>
            <c:ext xmlns:c16="http://schemas.microsoft.com/office/drawing/2014/chart" uri="{C3380CC4-5D6E-409C-BE32-E72D297353CC}">
              <c16:uniqueId val="{0000005D-BD0B-42AB-8104-7FC8BCE42856}"/>
            </c:ext>
          </c:extLst>
        </c:ser>
        <c:ser>
          <c:idx val="78"/>
          <c:order val="78"/>
          <c:tx>
            <c:v>x=0.0154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1.54E-2</c:v>
              </c:pt>
              <c:pt idx="1">
                <c:v>1.54E-2</c:v>
              </c:pt>
            </c:numLit>
          </c:yVal>
          <c:smooth val="0"/>
          <c:extLst>
            <c:ext xmlns:c16="http://schemas.microsoft.com/office/drawing/2014/chart" uri="{C3380CC4-5D6E-409C-BE32-E72D297353CC}">
              <c16:uniqueId val="{0000005E-BD0B-42AB-8104-7FC8BCE42856}"/>
            </c:ext>
          </c:extLst>
        </c:ser>
        <c:ser>
          <c:idx val="79"/>
          <c:order val="79"/>
          <c:tx>
            <c:v>x=0.0156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1.5600000000000001E-2</c:v>
              </c:pt>
              <c:pt idx="1">
                <c:v>1.5600000000000001E-2</c:v>
              </c:pt>
            </c:numLit>
          </c:yVal>
          <c:smooth val="0"/>
          <c:extLst>
            <c:ext xmlns:c16="http://schemas.microsoft.com/office/drawing/2014/chart" uri="{C3380CC4-5D6E-409C-BE32-E72D297353CC}">
              <c16:uniqueId val="{0000005F-BD0B-42AB-8104-7FC8BCE42856}"/>
            </c:ext>
          </c:extLst>
        </c:ser>
        <c:ser>
          <c:idx val="80"/>
          <c:order val="80"/>
          <c:tx>
            <c:v>x=0.0158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1.5800000000000002E-2</c:v>
              </c:pt>
              <c:pt idx="1">
                <c:v>1.5800000000000002E-2</c:v>
              </c:pt>
            </c:numLit>
          </c:yVal>
          <c:smooth val="0"/>
          <c:extLst>
            <c:ext xmlns:c16="http://schemas.microsoft.com/office/drawing/2014/chart" uri="{C3380CC4-5D6E-409C-BE32-E72D297353CC}">
              <c16:uniqueId val="{00000060-BD0B-42AB-8104-7FC8BCE42856}"/>
            </c:ext>
          </c:extLst>
        </c:ser>
        <c:ser>
          <c:idx val="81"/>
          <c:order val="81"/>
          <c:tx>
            <c:v>x=0.016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20.430390457256465</c:v>
              </c:pt>
              <c:pt idx="1">
                <c:v>50.8</c:v>
              </c:pt>
            </c:numLit>
          </c:xVal>
          <c:yVal>
            <c:numLit>
              <c:formatCode>General</c:formatCode>
              <c:ptCount val="2"/>
              <c:pt idx="0">
                <c:v>1.6E-2</c:v>
              </c:pt>
              <c:pt idx="1">
                <c:v>1.6E-2</c:v>
              </c:pt>
            </c:numLit>
          </c:yVal>
          <c:smooth val="0"/>
          <c:extLst>
            <c:ext xmlns:c16="http://schemas.microsoft.com/office/drawing/2014/chart" uri="{C3380CC4-5D6E-409C-BE32-E72D297353CC}">
              <c16:uniqueId val="{00000062-BD0B-42AB-8104-7FC8BCE42856}"/>
            </c:ext>
          </c:extLst>
        </c:ser>
        <c:ser>
          <c:idx val="82"/>
          <c:order val="82"/>
          <c:tx>
            <c:v>x=0.0162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1.6199999999999999E-2</c:v>
              </c:pt>
              <c:pt idx="1">
                <c:v>1.6199999999999999E-2</c:v>
              </c:pt>
            </c:numLit>
          </c:yVal>
          <c:smooth val="0"/>
          <c:extLst>
            <c:ext xmlns:c16="http://schemas.microsoft.com/office/drawing/2014/chart" uri="{C3380CC4-5D6E-409C-BE32-E72D297353CC}">
              <c16:uniqueId val="{00000063-BD0B-42AB-8104-7FC8BCE42856}"/>
            </c:ext>
          </c:extLst>
        </c:ser>
        <c:ser>
          <c:idx val="83"/>
          <c:order val="83"/>
          <c:tx>
            <c:v>x=0.0164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1.6400000000000001E-2</c:v>
              </c:pt>
              <c:pt idx="1">
                <c:v>1.6400000000000001E-2</c:v>
              </c:pt>
            </c:numLit>
          </c:yVal>
          <c:smooth val="0"/>
          <c:extLst>
            <c:ext xmlns:c16="http://schemas.microsoft.com/office/drawing/2014/chart" uri="{C3380CC4-5D6E-409C-BE32-E72D297353CC}">
              <c16:uniqueId val="{00000064-BD0B-42AB-8104-7FC8BCE42856}"/>
            </c:ext>
          </c:extLst>
        </c:ser>
        <c:ser>
          <c:idx val="84"/>
          <c:order val="84"/>
          <c:tx>
            <c:v>x=0.0166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1.66E-2</c:v>
              </c:pt>
              <c:pt idx="1">
                <c:v>1.66E-2</c:v>
              </c:pt>
            </c:numLit>
          </c:yVal>
          <c:smooth val="0"/>
          <c:extLst>
            <c:ext xmlns:c16="http://schemas.microsoft.com/office/drawing/2014/chart" uri="{C3380CC4-5D6E-409C-BE32-E72D297353CC}">
              <c16:uniqueId val="{00000065-BD0B-42AB-8104-7FC8BCE42856}"/>
            </c:ext>
          </c:extLst>
        </c:ser>
        <c:ser>
          <c:idx val="85"/>
          <c:order val="85"/>
          <c:tx>
            <c:v>x=0.0168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1.6800000000000002E-2</c:v>
              </c:pt>
              <c:pt idx="1">
                <c:v>1.6800000000000002E-2</c:v>
              </c:pt>
            </c:numLit>
          </c:yVal>
          <c:smooth val="0"/>
          <c:extLst>
            <c:ext xmlns:c16="http://schemas.microsoft.com/office/drawing/2014/chart" uri="{C3380CC4-5D6E-409C-BE32-E72D297353CC}">
              <c16:uniqueId val="{00000066-BD0B-42AB-8104-7FC8BCE42856}"/>
            </c:ext>
          </c:extLst>
        </c:ser>
        <c:ser>
          <c:idx val="86"/>
          <c:order val="86"/>
          <c:tx>
            <c:v>x=0.017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21.377778330019879</c:v>
              </c:pt>
              <c:pt idx="1">
                <c:v>50.8</c:v>
              </c:pt>
            </c:numLit>
          </c:xVal>
          <c:yVal>
            <c:numLit>
              <c:formatCode>General</c:formatCode>
              <c:ptCount val="2"/>
              <c:pt idx="0">
                <c:v>1.7000000000000001E-2</c:v>
              </c:pt>
              <c:pt idx="1">
                <c:v>1.7000000000000001E-2</c:v>
              </c:pt>
            </c:numLit>
          </c:yVal>
          <c:smooth val="0"/>
          <c:extLst>
            <c:ext xmlns:c16="http://schemas.microsoft.com/office/drawing/2014/chart" uri="{C3380CC4-5D6E-409C-BE32-E72D297353CC}">
              <c16:uniqueId val="{00000068-BD0B-42AB-8104-7FC8BCE42856}"/>
            </c:ext>
          </c:extLst>
        </c:ser>
        <c:ser>
          <c:idx val="87"/>
          <c:order val="87"/>
          <c:tx>
            <c:v>x=0.0172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1.72E-2</c:v>
              </c:pt>
              <c:pt idx="1">
                <c:v>1.72E-2</c:v>
              </c:pt>
            </c:numLit>
          </c:yVal>
          <c:smooth val="0"/>
          <c:extLst>
            <c:ext xmlns:c16="http://schemas.microsoft.com/office/drawing/2014/chart" uri="{C3380CC4-5D6E-409C-BE32-E72D297353CC}">
              <c16:uniqueId val="{00000069-BD0B-42AB-8104-7FC8BCE42856}"/>
            </c:ext>
          </c:extLst>
        </c:ser>
        <c:ser>
          <c:idx val="88"/>
          <c:order val="88"/>
          <c:tx>
            <c:v>x=0.0174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1.7400000000000002E-2</c:v>
              </c:pt>
              <c:pt idx="1">
                <c:v>1.7400000000000002E-2</c:v>
              </c:pt>
            </c:numLit>
          </c:yVal>
          <c:smooth val="0"/>
          <c:extLst>
            <c:ext xmlns:c16="http://schemas.microsoft.com/office/drawing/2014/chart" uri="{C3380CC4-5D6E-409C-BE32-E72D297353CC}">
              <c16:uniqueId val="{0000006A-BD0B-42AB-8104-7FC8BCE42856}"/>
            </c:ext>
          </c:extLst>
        </c:ser>
        <c:ser>
          <c:idx val="89"/>
          <c:order val="89"/>
          <c:tx>
            <c:v>x=0.0176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1.7600000000000001E-2</c:v>
              </c:pt>
              <c:pt idx="1">
                <c:v>1.7600000000000001E-2</c:v>
              </c:pt>
            </c:numLit>
          </c:yVal>
          <c:smooth val="0"/>
          <c:extLst>
            <c:ext xmlns:c16="http://schemas.microsoft.com/office/drawing/2014/chart" uri="{C3380CC4-5D6E-409C-BE32-E72D297353CC}">
              <c16:uniqueId val="{0000006B-BD0B-42AB-8104-7FC8BCE42856}"/>
            </c:ext>
          </c:extLst>
        </c:ser>
        <c:ser>
          <c:idx val="90"/>
          <c:order val="90"/>
          <c:tx>
            <c:v>x=0.0178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1.78E-2</c:v>
              </c:pt>
              <c:pt idx="1">
                <c:v>1.78E-2</c:v>
              </c:pt>
            </c:numLit>
          </c:yVal>
          <c:smooth val="0"/>
          <c:extLst>
            <c:ext xmlns:c16="http://schemas.microsoft.com/office/drawing/2014/chart" uri="{C3380CC4-5D6E-409C-BE32-E72D297353CC}">
              <c16:uniqueId val="{0000006C-BD0B-42AB-8104-7FC8BCE42856}"/>
            </c:ext>
          </c:extLst>
        </c:ser>
        <c:ser>
          <c:idx val="91"/>
          <c:order val="91"/>
          <c:tx>
            <c:v>x=0.018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22.266756262425449</c:v>
              </c:pt>
              <c:pt idx="1">
                <c:v>50.8</c:v>
              </c:pt>
            </c:numLit>
          </c:xVal>
          <c:yVal>
            <c:numLit>
              <c:formatCode>General</c:formatCode>
              <c:ptCount val="2"/>
              <c:pt idx="0">
                <c:v>1.8000000000000002E-2</c:v>
              </c:pt>
              <c:pt idx="1">
                <c:v>1.8000000000000002E-2</c:v>
              </c:pt>
            </c:numLit>
          </c:yVal>
          <c:smooth val="0"/>
          <c:extLst>
            <c:ext xmlns:c16="http://schemas.microsoft.com/office/drawing/2014/chart" uri="{C3380CC4-5D6E-409C-BE32-E72D297353CC}">
              <c16:uniqueId val="{0000006E-BD0B-42AB-8104-7FC8BCE42856}"/>
            </c:ext>
          </c:extLst>
        </c:ser>
        <c:ser>
          <c:idx val="92"/>
          <c:order val="92"/>
          <c:tx>
            <c:v>x=0.0182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1.8200000000000001E-2</c:v>
              </c:pt>
              <c:pt idx="1">
                <c:v>1.8200000000000001E-2</c:v>
              </c:pt>
            </c:numLit>
          </c:yVal>
          <c:smooth val="0"/>
          <c:extLst>
            <c:ext xmlns:c16="http://schemas.microsoft.com/office/drawing/2014/chart" uri="{C3380CC4-5D6E-409C-BE32-E72D297353CC}">
              <c16:uniqueId val="{0000006F-BD0B-42AB-8104-7FC8BCE42856}"/>
            </c:ext>
          </c:extLst>
        </c:ser>
        <c:ser>
          <c:idx val="93"/>
          <c:order val="93"/>
          <c:tx>
            <c:v>x=0.0184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1.84E-2</c:v>
              </c:pt>
              <c:pt idx="1">
                <c:v>1.84E-2</c:v>
              </c:pt>
            </c:numLit>
          </c:yVal>
          <c:smooth val="0"/>
          <c:extLst>
            <c:ext xmlns:c16="http://schemas.microsoft.com/office/drawing/2014/chart" uri="{C3380CC4-5D6E-409C-BE32-E72D297353CC}">
              <c16:uniqueId val="{00000070-BD0B-42AB-8104-7FC8BCE42856}"/>
            </c:ext>
          </c:extLst>
        </c:ser>
        <c:ser>
          <c:idx val="94"/>
          <c:order val="94"/>
          <c:tx>
            <c:v>x=0.0186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1.8600000000000002E-2</c:v>
              </c:pt>
              <c:pt idx="1">
                <c:v>1.8600000000000002E-2</c:v>
              </c:pt>
            </c:numLit>
          </c:yVal>
          <c:smooth val="0"/>
          <c:extLst>
            <c:ext xmlns:c16="http://schemas.microsoft.com/office/drawing/2014/chart" uri="{C3380CC4-5D6E-409C-BE32-E72D297353CC}">
              <c16:uniqueId val="{00000071-BD0B-42AB-8104-7FC8BCE42856}"/>
            </c:ext>
          </c:extLst>
        </c:ser>
        <c:ser>
          <c:idx val="95"/>
          <c:order val="95"/>
          <c:tx>
            <c:v>x=0.0188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1.8800000000000001E-2</c:v>
              </c:pt>
              <c:pt idx="1">
                <c:v>1.8800000000000001E-2</c:v>
              </c:pt>
            </c:numLit>
          </c:yVal>
          <c:smooth val="0"/>
          <c:extLst>
            <c:ext xmlns:c16="http://schemas.microsoft.com/office/drawing/2014/chart" uri="{C3380CC4-5D6E-409C-BE32-E72D297353CC}">
              <c16:uniqueId val="{00000072-BD0B-42AB-8104-7FC8BCE42856}"/>
            </c:ext>
          </c:extLst>
        </c:ser>
        <c:ser>
          <c:idx val="96"/>
          <c:order val="96"/>
          <c:tx>
            <c:v>x=0.019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0.019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23.117694035785291</c:v>
              </c:pt>
              <c:pt idx="1">
                <c:v>50.8</c:v>
              </c:pt>
            </c:numLit>
          </c:xVal>
          <c:yVal>
            <c:numLit>
              <c:formatCode>General</c:formatCode>
              <c:ptCount val="2"/>
              <c:pt idx="0">
                <c:v>1.9E-2</c:v>
              </c:pt>
              <c:pt idx="1">
                <c:v>1.9E-2</c:v>
              </c:pt>
            </c:numLit>
          </c:yVal>
          <c:smooth val="0"/>
          <c:extLst>
            <c:ext xmlns:c16="http://schemas.microsoft.com/office/drawing/2014/chart" uri="{C3380CC4-5D6E-409C-BE32-E72D297353CC}">
              <c16:uniqueId val="{00000074-BD0B-42AB-8104-7FC8BCE42856}"/>
            </c:ext>
          </c:extLst>
        </c:ser>
        <c:ser>
          <c:idx val="97"/>
          <c:order val="97"/>
          <c:tx>
            <c:v>x=0.0192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1.9200000000000002E-2</c:v>
              </c:pt>
              <c:pt idx="1">
                <c:v>1.9200000000000002E-2</c:v>
              </c:pt>
            </c:numLit>
          </c:yVal>
          <c:smooth val="0"/>
          <c:extLst>
            <c:ext xmlns:c16="http://schemas.microsoft.com/office/drawing/2014/chart" uri="{C3380CC4-5D6E-409C-BE32-E72D297353CC}">
              <c16:uniqueId val="{00000075-BD0B-42AB-8104-7FC8BCE42856}"/>
            </c:ext>
          </c:extLst>
        </c:ser>
        <c:ser>
          <c:idx val="98"/>
          <c:order val="98"/>
          <c:tx>
            <c:v>x=0.0194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1.9400000000000001E-2</c:v>
              </c:pt>
              <c:pt idx="1">
                <c:v>1.9400000000000001E-2</c:v>
              </c:pt>
            </c:numLit>
          </c:yVal>
          <c:smooth val="0"/>
          <c:extLst>
            <c:ext xmlns:c16="http://schemas.microsoft.com/office/drawing/2014/chart" uri="{C3380CC4-5D6E-409C-BE32-E72D297353CC}">
              <c16:uniqueId val="{00000076-BD0B-42AB-8104-7FC8BCE42856}"/>
            </c:ext>
          </c:extLst>
        </c:ser>
        <c:ser>
          <c:idx val="99"/>
          <c:order val="99"/>
          <c:tx>
            <c:v>x=0.0196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1.9599999999999999E-2</c:v>
              </c:pt>
              <c:pt idx="1">
                <c:v>1.9599999999999999E-2</c:v>
              </c:pt>
            </c:numLit>
          </c:yVal>
          <c:smooth val="0"/>
          <c:extLst>
            <c:ext xmlns:c16="http://schemas.microsoft.com/office/drawing/2014/chart" uri="{C3380CC4-5D6E-409C-BE32-E72D297353CC}">
              <c16:uniqueId val="{00000077-BD0B-42AB-8104-7FC8BCE42856}"/>
            </c:ext>
          </c:extLst>
        </c:ser>
        <c:ser>
          <c:idx val="100"/>
          <c:order val="100"/>
          <c:tx>
            <c:v>x=0.0198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1.9800000000000002E-2</c:v>
              </c:pt>
              <c:pt idx="1">
                <c:v>1.9800000000000002E-2</c:v>
              </c:pt>
            </c:numLit>
          </c:yVal>
          <c:smooth val="0"/>
          <c:extLst>
            <c:ext xmlns:c16="http://schemas.microsoft.com/office/drawing/2014/chart" uri="{C3380CC4-5D6E-409C-BE32-E72D297353CC}">
              <c16:uniqueId val="{00000078-BD0B-42AB-8104-7FC8BCE42856}"/>
            </c:ext>
          </c:extLst>
        </c:ser>
        <c:ser>
          <c:idx val="101"/>
          <c:order val="101"/>
          <c:tx>
            <c:v>x=0.02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23.930369781312127</c:v>
              </c:pt>
              <c:pt idx="1">
                <c:v>50.8</c:v>
              </c:pt>
            </c:numLit>
          </c:xVal>
          <c:yVal>
            <c:numLit>
              <c:formatCode>General</c:formatCode>
              <c:ptCount val="2"/>
              <c:pt idx="0">
                <c:v>0.02</c:v>
              </c:pt>
              <c:pt idx="1">
                <c:v>0.02</c:v>
              </c:pt>
            </c:numLit>
          </c:yVal>
          <c:smooth val="0"/>
          <c:extLst>
            <c:ext xmlns:c16="http://schemas.microsoft.com/office/drawing/2014/chart" uri="{C3380CC4-5D6E-409C-BE32-E72D297353CC}">
              <c16:uniqueId val="{0000007A-BD0B-42AB-8104-7FC8BCE42856}"/>
            </c:ext>
          </c:extLst>
        </c:ser>
        <c:ser>
          <c:idx val="102"/>
          <c:order val="102"/>
          <c:tx>
            <c:v>x=0.0202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2.0200000000000003E-2</c:v>
              </c:pt>
              <c:pt idx="1">
                <c:v>2.0200000000000003E-2</c:v>
              </c:pt>
            </c:numLit>
          </c:yVal>
          <c:smooth val="0"/>
          <c:extLst>
            <c:ext xmlns:c16="http://schemas.microsoft.com/office/drawing/2014/chart" uri="{C3380CC4-5D6E-409C-BE32-E72D297353CC}">
              <c16:uniqueId val="{0000007B-BD0B-42AB-8104-7FC8BCE42856}"/>
            </c:ext>
          </c:extLst>
        </c:ser>
        <c:ser>
          <c:idx val="103"/>
          <c:order val="103"/>
          <c:tx>
            <c:v>x=0.0204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2.0400000000000001E-2</c:v>
              </c:pt>
              <c:pt idx="1">
                <c:v>2.0400000000000001E-2</c:v>
              </c:pt>
            </c:numLit>
          </c:yVal>
          <c:smooth val="0"/>
          <c:extLst>
            <c:ext xmlns:c16="http://schemas.microsoft.com/office/drawing/2014/chart" uri="{C3380CC4-5D6E-409C-BE32-E72D297353CC}">
              <c16:uniqueId val="{0000007C-BD0B-42AB-8104-7FC8BCE42856}"/>
            </c:ext>
          </c:extLst>
        </c:ser>
        <c:ser>
          <c:idx val="104"/>
          <c:order val="104"/>
          <c:tx>
            <c:v>x=0.0206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2.06E-2</c:v>
              </c:pt>
              <c:pt idx="1">
                <c:v>2.06E-2</c:v>
              </c:pt>
            </c:numLit>
          </c:yVal>
          <c:smooth val="0"/>
          <c:extLst>
            <c:ext xmlns:c16="http://schemas.microsoft.com/office/drawing/2014/chart" uri="{C3380CC4-5D6E-409C-BE32-E72D297353CC}">
              <c16:uniqueId val="{0000007D-BD0B-42AB-8104-7FC8BCE42856}"/>
            </c:ext>
          </c:extLst>
        </c:ser>
        <c:ser>
          <c:idx val="105"/>
          <c:order val="105"/>
          <c:tx>
            <c:v>x=0.0208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2.0800000000000003E-2</c:v>
              </c:pt>
              <c:pt idx="1">
                <c:v>2.0800000000000003E-2</c:v>
              </c:pt>
            </c:numLit>
          </c:yVal>
          <c:smooth val="0"/>
          <c:extLst>
            <c:ext xmlns:c16="http://schemas.microsoft.com/office/drawing/2014/chart" uri="{C3380CC4-5D6E-409C-BE32-E72D297353CC}">
              <c16:uniqueId val="{0000007E-BD0B-42AB-8104-7FC8BCE42856}"/>
            </c:ext>
          </c:extLst>
        </c:ser>
        <c:ser>
          <c:idx val="106"/>
          <c:order val="106"/>
          <c:tx>
            <c:v>x=0.021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24.714949900596423</c:v>
              </c:pt>
              <c:pt idx="1">
                <c:v>50.8</c:v>
              </c:pt>
            </c:numLit>
          </c:xVal>
          <c:yVal>
            <c:numLit>
              <c:formatCode>General</c:formatCode>
              <c:ptCount val="2"/>
              <c:pt idx="0">
                <c:v>2.1000000000000001E-2</c:v>
              </c:pt>
              <c:pt idx="1">
                <c:v>2.1000000000000001E-2</c:v>
              </c:pt>
            </c:numLit>
          </c:yVal>
          <c:smooth val="0"/>
          <c:extLst>
            <c:ext xmlns:c16="http://schemas.microsoft.com/office/drawing/2014/chart" uri="{C3380CC4-5D6E-409C-BE32-E72D297353CC}">
              <c16:uniqueId val="{00000080-BD0B-42AB-8104-7FC8BCE42856}"/>
            </c:ext>
          </c:extLst>
        </c:ser>
        <c:ser>
          <c:idx val="107"/>
          <c:order val="107"/>
          <c:tx>
            <c:v>x=0.0212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2.12E-2</c:v>
              </c:pt>
              <c:pt idx="1">
                <c:v>2.12E-2</c:v>
              </c:pt>
            </c:numLit>
          </c:yVal>
          <c:smooth val="0"/>
          <c:extLst>
            <c:ext xmlns:c16="http://schemas.microsoft.com/office/drawing/2014/chart" uri="{C3380CC4-5D6E-409C-BE32-E72D297353CC}">
              <c16:uniqueId val="{00000081-BD0B-42AB-8104-7FC8BCE42856}"/>
            </c:ext>
          </c:extLst>
        </c:ser>
        <c:ser>
          <c:idx val="108"/>
          <c:order val="108"/>
          <c:tx>
            <c:v>x=0.0214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2.1400000000000002E-2</c:v>
              </c:pt>
              <c:pt idx="1">
                <c:v>2.1400000000000002E-2</c:v>
              </c:pt>
            </c:numLit>
          </c:yVal>
          <c:smooth val="0"/>
          <c:extLst>
            <c:ext xmlns:c16="http://schemas.microsoft.com/office/drawing/2014/chart" uri="{C3380CC4-5D6E-409C-BE32-E72D297353CC}">
              <c16:uniqueId val="{00000082-BD0B-42AB-8104-7FC8BCE42856}"/>
            </c:ext>
          </c:extLst>
        </c:ser>
        <c:ser>
          <c:idx val="109"/>
          <c:order val="109"/>
          <c:tx>
            <c:v>x=0.0216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2.1600000000000001E-2</c:v>
              </c:pt>
              <c:pt idx="1">
                <c:v>2.1600000000000001E-2</c:v>
              </c:pt>
            </c:numLit>
          </c:yVal>
          <c:smooth val="0"/>
          <c:extLst>
            <c:ext xmlns:c16="http://schemas.microsoft.com/office/drawing/2014/chart" uri="{C3380CC4-5D6E-409C-BE32-E72D297353CC}">
              <c16:uniqueId val="{00000083-BD0B-42AB-8104-7FC8BCE42856}"/>
            </c:ext>
          </c:extLst>
        </c:ser>
        <c:ser>
          <c:idx val="110"/>
          <c:order val="110"/>
          <c:tx>
            <c:v>x=0.0218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2.18E-2</c:v>
              </c:pt>
              <c:pt idx="1">
                <c:v>2.18E-2</c:v>
              </c:pt>
            </c:numLit>
          </c:yVal>
          <c:smooth val="0"/>
          <c:extLst>
            <c:ext xmlns:c16="http://schemas.microsoft.com/office/drawing/2014/chart" uri="{C3380CC4-5D6E-409C-BE32-E72D297353CC}">
              <c16:uniqueId val="{00000084-BD0B-42AB-8104-7FC8BCE42856}"/>
            </c:ext>
          </c:extLst>
        </c:ser>
        <c:ser>
          <c:idx val="111"/>
          <c:order val="111"/>
          <c:tx>
            <c:v>x=0.022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25.460861232604376</c:v>
              </c:pt>
              <c:pt idx="1">
                <c:v>50.8</c:v>
              </c:pt>
            </c:numLit>
          </c:xVal>
          <c:yVal>
            <c:numLit>
              <c:formatCode>General</c:formatCode>
              <c:ptCount val="2"/>
              <c:pt idx="0">
                <c:v>2.2000000000000002E-2</c:v>
              </c:pt>
              <c:pt idx="1">
                <c:v>2.2000000000000002E-2</c:v>
              </c:pt>
            </c:numLit>
          </c:yVal>
          <c:smooth val="0"/>
          <c:extLst>
            <c:ext xmlns:c16="http://schemas.microsoft.com/office/drawing/2014/chart" uri="{C3380CC4-5D6E-409C-BE32-E72D297353CC}">
              <c16:uniqueId val="{00000086-BD0B-42AB-8104-7FC8BCE42856}"/>
            </c:ext>
          </c:extLst>
        </c:ser>
        <c:ser>
          <c:idx val="112"/>
          <c:order val="112"/>
          <c:tx>
            <c:v>x=0.0222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2.2200000000000001E-2</c:v>
              </c:pt>
              <c:pt idx="1">
                <c:v>2.2200000000000001E-2</c:v>
              </c:pt>
            </c:numLit>
          </c:yVal>
          <c:smooth val="0"/>
          <c:extLst>
            <c:ext xmlns:c16="http://schemas.microsoft.com/office/drawing/2014/chart" uri="{C3380CC4-5D6E-409C-BE32-E72D297353CC}">
              <c16:uniqueId val="{00000087-BD0B-42AB-8104-7FC8BCE42856}"/>
            </c:ext>
          </c:extLst>
        </c:ser>
        <c:ser>
          <c:idx val="113"/>
          <c:order val="113"/>
          <c:tx>
            <c:v>x=0.0224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2.24E-2</c:v>
              </c:pt>
              <c:pt idx="1">
                <c:v>2.24E-2</c:v>
              </c:pt>
            </c:numLit>
          </c:yVal>
          <c:smooth val="0"/>
          <c:extLst>
            <c:ext xmlns:c16="http://schemas.microsoft.com/office/drawing/2014/chart" uri="{C3380CC4-5D6E-409C-BE32-E72D297353CC}">
              <c16:uniqueId val="{00000088-BD0B-42AB-8104-7FC8BCE42856}"/>
            </c:ext>
          </c:extLst>
        </c:ser>
        <c:ser>
          <c:idx val="114"/>
          <c:order val="114"/>
          <c:tx>
            <c:v>x=0.0226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2.2600000000000002E-2</c:v>
              </c:pt>
              <c:pt idx="1">
                <c:v>2.2600000000000002E-2</c:v>
              </c:pt>
            </c:numLit>
          </c:yVal>
          <c:smooth val="0"/>
          <c:extLst>
            <c:ext xmlns:c16="http://schemas.microsoft.com/office/drawing/2014/chart" uri="{C3380CC4-5D6E-409C-BE32-E72D297353CC}">
              <c16:uniqueId val="{00000089-BD0B-42AB-8104-7FC8BCE42856}"/>
            </c:ext>
          </c:extLst>
        </c:ser>
        <c:ser>
          <c:idx val="115"/>
          <c:order val="115"/>
          <c:tx>
            <c:v>x=0.0228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2.2800000000000001E-2</c:v>
              </c:pt>
              <c:pt idx="1">
                <c:v>2.2800000000000001E-2</c:v>
              </c:pt>
            </c:numLit>
          </c:yVal>
          <c:smooth val="0"/>
          <c:extLst>
            <c:ext xmlns:c16="http://schemas.microsoft.com/office/drawing/2014/chart" uri="{C3380CC4-5D6E-409C-BE32-E72D297353CC}">
              <c16:uniqueId val="{0000008A-BD0B-42AB-8104-7FC8BCE42856}"/>
            </c:ext>
          </c:extLst>
        </c:ser>
        <c:ser>
          <c:idx val="116"/>
          <c:order val="116"/>
          <c:tx>
            <c:v>x=0.023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26.178307157057652</c:v>
              </c:pt>
              <c:pt idx="1">
                <c:v>50.8</c:v>
              </c:pt>
            </c:numLit>
          </c:xVal>
          <c:yVal>
            <c:numLit>
              <c:formatCode>General</c:formatCode>
              <c:ptCount val="2"/>
              <c:pt idx="0">
                <c:v>2.3E-2</c:v>
              </c:pt>
              <c:pt idx="1">
                <c:v>2.3E-2</c:v>
              </c:pt>
            </c:numLit>
          </c:yVal>
          <c:smooth val="0"/>
          <c:extLst>
            <c:ext xmlns:c16="http://schemas.microsoft.com/office/drawing/2014/chart" uri="{C3380CC4-5D6E-409C-BE32-E72D297353CC}">
              <c16:uniqueId val="{0000008C-BD0B-42AB-8104-7FC8BCE42856}"/>
            </c:ext>
          </c:extLst>
        </c:ser>
        <c:ser>
          <c:idx val="117"/>
          <c:order val="117"/>
          <c:tx>
            <c:v>x=0.0232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2.3200000000000002E-2</c:v>
              </c:pt>
              <c:pt idx="1">
                <c:v>2.3200000000000002E-2</c:v>
              </c:pt>
            </c:numLit>
          </c:yVal>
          <c:smooth val="0"/>
          <c:extLst>
            <c:ext xmlns:c16="http://schemas.microsoft.com/office/drawing/2014/chart" uri="{C3380CC4-5D6E-409C-BE32-E72D297353CC}">
              <c16:uniqueId val="{0000008D-BD0B-42AB-8104-7FC8BCE42856}"/>
            </c:ext>
          </c:extLst>
        </c:ser>
        <c:ser>
          <c:idx val="118"/>
          <c:order val="118"/>
          <c:tx>
            <c:v>x=0.0234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2.3400000000000001E-2</c:v>
              </c:pt>
              <c:pt idx="1">
                <c:v>2.3400000000000001E-2</c:v>
              </c:pt>
            </c:numLit>
          </c:yVal>
          <c:smooth val="0"/>
          <c:extLst>
            <c:ext xmlns:c16="http://schemas.microsoft.com/office/drawing/2014/chart" uri="{C3380CC4-5D6E-409C-BE32-E72D297353CC}">
              <c16:uniqueId val="{0000008E-BD0B-42AB-8104-7FC8BCE42856}"/>
            </c:ext>
          </c:extLst>
        </c:ser>
        <c:ser>
          <c:idx val="119"/>
          <c:order val="119"/>
          <c:tx>
            <c:v>x=0.0236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2.3599999999999999E-2</c:v>
              </c:pt>
              <c:pt idx="1">
                <c:v>2.3599999999999999E-2</c:v>
              </c:pt>
            </c:numLit>
          </c:yVal>
          <c:smooth val="0"/>
          <c:extLst>
            <c:ext xmlns:c16="http://schemas.microsoft.com/office/drawing/2014/chart" uri="{C3380CC4-5D6E-409C-BE32-E72D297353CC}">
              <c16:uniqueId val="{0000008F-BD0B-42AB-8104-7FC8BCE42856}"/>
            </c:ext>
          </c:extLst>
        </c:ser>
        <c:ser>
          <c:idx val="120"/>
          <c:order val="120"/>
          <c:tx>
            <c:v>x=0.0238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2.3800000000000002E-2</c:v>
              </c:pt>
              <c:pt idx="1">
                <c:v>2.3800000000000002E-2</c:v>
              </c:pt>
            </c:numLit>
          </c:yVal>
          <c:smooth val="0"/>
          <c:extLst>
            <c:ext xmlns:c16="http://schemas.microsoft.com/office/drawing/2014/chart" uri="{C3380CC4-5D6E-409C-BE32-E72D297353CC}">
              <c16:uniqueId val="{00000090-BD0B-42AB-8104-7FC8BCE42856}"/>
            </c:ext>
          </c:extLst>
        </c:ser>
        <c:ser>
          <c:idx val="121"/>
          <c:order val="121"/>
          <c:tx>
            <c:v>x=0.024</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26.867121272365807</c:v>
              </c:pt>
              <c:pt idx="1">
                <c:v>50.8</c:v>
              </c:pt>
            </c:numLit>
          </c:xVal>
          <c:yVal>
            <c:numLit>
              <c:formatCode>General</c:formatCode>
              <c:ptCount val="2"/>
              <c:pt idx="0">
                <c:v>2.4E-2</c:v>
              </c:pt>
              <c:pt idx="1">
                <c:v>2.4E-2</c:v>
              </c:pt>
            </c:numLit>
          </c:yVal>
          <c:smooth val="0"/>
          <c:extLst>
            <c:ext xmlns:c16="http://schemas.microsoft.com/office/drawing/2014/chart" uri="{C3380CC4-5D6E-409C-BE32-E72D297353CC}">
              <c16:uniqueId val="{00000092-BD0B-42AB-8104-7FC8BCE42856}"/>
            </c:ext>
          </c:extLst>
        </c:ser>
        <c:ser>
          <c:idx val="122"/>
          <c:order val="122"/>
          <c:tx>
            <c:v>x=0.0242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2.4200000000000003E-2</c:v>
              </c:pt>
              <c:pt idx="1">
                <c:v>2.4200000000000003E-2</c:v>
              </c:pt>
            </c:numLit>
          </c:yVal>
          <c:smooth val="0"/>
          <c:extLst>
            <c:ext xmlns:c16="http://schemas.microsoft.com/office/drawing/2014/chart" uri="{C3380CC4-5D6E-409C-BE32-E72D297353CC}">
              <c16:uniqueId val="{00000093-BD0B-42AB-8104-7FC8BCE42856}"/>
            </c:ext>
          </c:extLst>
        </c:ser>
        <c:ser>
          <c:idx val="123"/>
          <c:order val="123"/>
          <c:tx>
            <c:v>x=0.0244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2.4400000000000002E-2</c:v>
              </c:pt>
              <c:pt idx="1">
                <c:v>2.4400000000000002E-2</c:v>
              </c:pt>
            </c:numLit>
          </c:yVal>
          <c:smooth val="0"/>
          <c:extLst>
            <c:ext xmlns:c16="http://schemas.microsoft.com/office/drawing/2014/chart" uri="{C3380CC4-5D6E-409C-BE32-E72D297353CC}">
              <c16:uniqueId val="{00000094-BD0B-42AB-8104-7FC8BCE42856}"/>
            </c:ext>
          </c:extLst>
        </c:ser>
        <c:ser>
          <c:idx val="124"/>
          <c:order val="124"/>
          <c:tx>
            <c:v>x=0.0246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2.46E-2</c:v>
              </c:pt>
              <c:pt idx="1">
                <c:v>2.46E-2</c:v>
              </c:pt>
            </c:numLit>
          </c:yVal>
          <c:smooth val="0"/>
          <c:extLst>
            <c:ext xmlns:c16="http://schemas.microsoft.com/office/drawing/2014/chart" uri="{C3380CC4-5D6E-409C-BE32-E72D297353CC}">
              <c16:uniqueId val="{00000095-BD0B-42AB-8104-7FC8BCE42856}"/>
            </c:ext>
          </c:extLst>
        </c:ser>
        <c:ser>
          <c:idx val="125"/>
          <c:order val="125"/>
          <c:tx>
            <c:v>x=0.0248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2.4800000000000003E-2</c:v>
              </c:pt>
              <c:pt idx="1">
                <c:v>2.4800000000000003E-2</c:v>
              </c:pt>
            </c:numLit>
          </c:yVal>
          <c:smooth val="0"/>
          <c:extLst>
            <c:ext xmlns:c16="http://schemas.microsoft.com/office/drawing/2014/chart" uri="{C3380CC4-5D6E-409C-BE32-E72D297353CC}">
              <c16:uniqueId val="{00000096-BD0B-42AB-8104-7FC8BCE42856}"/>
            </c:ext>
          </c:extLst>
        </c:ser>
        <c:ser>
          <c:idx val="126"/>
          <c:order val="126"/>
          <c:tx>
            <c:v>x=0.025</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0.025</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27.527137176938368</c:v>
              </c:pt>
              <c:pt idx="1">
                <c:v>50.8</c:v>
              </c:pt>
            </c:numLit>
          </c:xVal>
          <c:yVal>
            <c:numLit>
              <c:formatCode>General</c:formatCode>
              <c:ptCount val="2"/>
              <c:pt idx="0">
                <c:v>2.5000000000000001E-2</c:v>
              </c:pt>
              <c:pt idx="1">
                <c:v>2.5000000000000001E-2</c:v>
              </c:pt>
            </c:numLit>
          </c:yVal>
          <c:smooth val="0"/>
          <c:extLst>
            <c:ext xmlns:c16="http://schemas.microsoft.com/office/drawing/2014/chart" uri="{C3380CC4-5D6E-409C-BE32-E72D297353CC}">
              <c16:uniqueId val="{00000098-BD0B-42AB-8104-7FC8BCE42856}"/>
            </c:ext>
          </c:extLst>
        </c:ser>
        <c:ser>
          <c:idx val="127"/>
          <c:order val="127"/>
          <c:tx>
            <c:v>x=0.0252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2.52E-2</c:v>
              </c:pt>
              <c:pt idx="1">
                <c:v>2.52E-2</c:v>
              </c:pt>
            </c:numLit>
          </c:yVal>
          <c:smooth val="0"/>
          <c:extLst>
            <c:ext xmlns:c16="http://schemas.microsoft.com/office/drawing/2014/chart" uri="{C3380CC4-5D6E-409C-BE32-E72D297353CC}">
              <c16:uniqueId val="{00000099-BD0B-42AB-8104-7FC8BCE42856}"/>
            </c:ext>
          </c:extLst>
        </c:ser>
        <c:ser>
          <c:idx val="128"/>
          <c:order val="128"/>
          <c:tx>
            <c:v>x=0.0254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2.5400000000000002E-2</c:v>
              </c:pt>
              <c:pt idx="1">
                <c:v>2.5400000000000002E-2</c:v>
              </c:pt>
            </c:numLit>
          </c:yVal>
          <c:smooth val="0"/>
          <c:extLst>
            <c:ext xmlns:c16="http://schemas.microsoft.com/office/drawing/2014/chart" uri="{C3380CC4-5D6E-409C-BE32-E72D297353CC}">
              <c16:uniqueId val="{0000009A-BD0B-42AB-8104-7FC8BCE42856}"/>
            </c:ext>
          </c:extLst>
        </c:ser>
        <c:ser>
          <c:idx val="129"/>
          <c:order val="129"/>
          <c:tx>
            <c:v>x=0.0256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2.5600000000000001E-2</c:v>
              </c:pt>
              <c:pt idx="1">
                <c:v>2.5600000000000001E-2</c:v>
              </c:pt>
            </c:numLit>
          </c:yVal>
          <c:smooth val="0"/>
          <c:extLst>
            <c:ext xmlns:c16="http://schemas.microsoft.com/office/drawing/2014/chart" uri="{C3380CC4-5D6E-409C-BE32-E72D297353CC}">
              <c16:uniqueId val="{0000009B-BD0B-42AB-8104-7FC8BCE42856}"/>
            </c:ext>
          </c:extLst>
        </c:ser>
        <c:ser>
          <c:idx val="130"/>
          <c:order val="130"/>
          <c:tx>
            <c:v>x=0.0258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2.58E-2</c:v>
              </c:pt>
              <c:pt idx="1">
                <c:v>2.58E-2</c:v>
              </c:pt>
            </c:numLit>
          </c:yVal>
          <c:smooth val="0"/>
          <c:extLst>
            <c:ext xmlns:c16="http://schemas.microsoft.com/office/drawing/2014/chart" uri="{C3380CC4-5D6E-409C-BE32-E72D297353CC}">
              <c16:uniqueId val="{0000009C-BD0B-42AB-8104-7FC8BCE42856}"/>
            </c:ext>
          </c:extLst>
        </c:ser>
        <c:ser>
          <c:idx val="131"/>
          <c:order val="131"/>
          <c:tx>
            <c:v>x=0.026</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0.026</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28.168669184890657</c:v>
              </c:pt>
              <c:pt idx="1">
                <c:v>50.8</c:v>
              </c:pt>
            </c:numLit>
          </c:xVal>
          <c:yVal>
            <c:numLit>
              <c:formatCode>General</c:formatCode>
              <c:ptCount val="2"/>
              <c:pt idx="0">
                <c:v>2.6000000000000002E-2</c:v>
              </c:pt>
              <c:pt idx="1">
                <c:v>2.6000000000000002E-2</c:v>
              </c:pt>
            </c:numLit>
          </c:yVal>
          <c:smooth val="0"/>
          <c:extLst>
            <c:ext xmlns:c16="http://schemas.microsoft.com/office/drawing/2014/chart" uri="{C3380CC4-5D6E-409C-BE32-E72D297353CC}">
              <c16:uniqueId val="{0000009E-BD0B-42AB-8104-7FC8BCE42856}"/>
            </c:ext>
          </c:extLst>
        </c:ser>
        <c:ser>
          <c:idx val="132"/>
          <c:order val="132"/>
          <c:tx>
            <c:v>x=0.0262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2.6200000000000001E-2</c:v>
              </c:pt>
              <c:pt idx="1">
                <c:v>2.6200000000000001E-2</c:v>
              </c:pt>
            </c:numLit>
          </c:yVal>
          <c:smooth val="0"/>
          <c:extLst>
            <c:ext xmlns:c16="http://schemas.microsoft.com/office/drawing/2014/chart" uri="{C3380CC4-5D6E-409C-BE32-E72D297353CC}">
              <c16:uniqueId val="{0000009F-BD0B-42AB-8104-7FC8BCE42856}"/>
            </c:ext>
          </c:extLst>
        </c:ser>
        <c:ser>
          <c:idx val="133"/>
          <c:order val="133"/>
          <c:tx>
            <c:v>x=0.0264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2.64E-2</c:v>
              </c:pt>
              <c:pt idx="1">
                <c:v>2.64E-2</c:v>
              </c:pt>
            </c:numLit>
          </c:yVal>
          <c:smooth val="0"/>
          <c:extLst>
            <c:ext xmlns:c16="http://schemas.microsoft.com/office/drawing/2014/chart" uri="{C3380CC4-5D6E-409C-BE32-E72D297353CC}">
              <c16:uniqueId val="{000000A0-BD0B-42AB-8104-7FC8BCE42856}"/>
            </c:ext>
          </c:extLst>
        </c:ser>
        <c:ser>
          <c:idx val="134"/>
          <c:order val="134"/>
          <c:tx>
            <c:v>x=0.0266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2.6600000000000002E-2</c:v>
              </c:pt>
              <c:pt idx="1">
                <c:v>2.6600000000000002E-2</c:v>
              </c:pt>
            </c:numLit>
          </c:yVal>
          <c:smooth val="0"/>
          <c:extLst>
            <c:ext xmlns:c16="http://schemas.microsoft.com/office/drawing/2014/chart" uri="{C3380CC4-5D6E-409C-BE32-E72D297353CC}">
              <c16:uniqueId val="{000000A1-BD0B-42AB-8104-7FC8BCE42856}"/>
            </c:ext>
          </c:extLst>
        </c:ser>
        <c:ser>
          <c:idx val="135"/>
          <c:order val="135"/>
          <c:tx>
            <c:v>x=0.0268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2.6800000000000001E-2</c:v>
              </c:pt>
              <c:pt idx="1">
                <c:v>2.6800000000000001E-2</c:v>
              </c:pt>
            </c:numLit>
          </c:yVal>
          <c:smooth val="0"/>
          <c:extLst>
            <c:ext xmlns:c16="http://schemas.microsoft.com/office/drawing/2014/chart" uri="{C3380CC4-5D6E-409C-BE32-E72D297353CC}">
              <c16:uniqueId val="{000000A2-BD0B-42AB-8104-7FC8BCE42856}"/>
            </c:ext>
          </c:extLst>
        </c:ser>
        <c:ser>
          <c:idx val="136"/>
          <c:order val="136"/>
          <c:tx>
            <c:v>x=0.027</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0.027</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28.791606361829029</c:v>
              </c:pt>
              <c:pt idx="1">
                <c:v>50.8</c:v>
              </c:pt>
            </c:numLit>
          </c:xVal>
          <c:yVal>
            <c:numLit>
              <c:formatCode>General</c:formatCode>
              <c:ptCount val="2"/>
              <c:pt idx="0">
                <c:v>2.7E-2</c:v>
              </c:pt>
              <c:pt idx="1">
                <c:v>2.7E-2</c:v>
              </c:pt>
            </c:numLit>
          </c:yVal>
          <c:smooth val="0"/>
          <c:extLst>
            <c:ext xmlns:c16="http://schemas.microsoft.com/office/drawing/2014/chart" uri="{C3380CC4-5D6E-409C-BE32-E72D297353CC}">
              <c16:uniqueId val="{000000A4-BD0B-42AB-8104-7FC8BCE42856}"/>
            </c:ext>
          </c:extLst>
        </c:ser>
        <c:ser>
          <c:idx val="137"/>
          <c:order val="137"/>
          <c:tx>
            <c:v>x=0.0272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2.7200000000000002E-2</c:v>
              </c:pt>
              <c:pt idx="1">
                <c:v>2.7200000000000002E-2</c:v>
              </c:pt>
            </c:numLit>
          </c:yVal>
          <c:smooth val="0"/>
          <c:extLst>
            <c:ext xmlns:c16="http://schemas.microsoft.com/office/drawing/2014/chart" uri="{C3380CC4-5D6E-409C-BE32-E72D297353CC}">
              <c16:uniqueId val="{000000A5-BD0B-42AB-8104-7FC8BCE42856}"/>
            </c:ext>
          </c:extLst>
        </c:ser>
        <c:ser>
          <c:idx val="138"/>
          <c:order val="138"/>
          <c:tx>
            <c:v>x=0.0274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2.7400000000000001E-2</c:v>
              </c:pt>
              <c:pt idx="1">
                <c:v>2.7400000000000001E-2</c:v>
              </c:pt>
            </c:numLit>
          </c:yVal>
          <c:smooth val="0"/>
          <c:extLst>
            <c:ext xmlns:c16="http://schemas.microsoft.com/office/drawing/2014/chart" uri="{C3380CC4-5D6E-409C-BE32-E72D297353CC}">
              <c16:uniqueId val="{000000A6-BD0B-42AB-8104-7FC8BCE42856}"/>
            </c:ext>
          </c:extLst>
        </c:ser>
        <c:ser>
          <c:idx val="139"/>
          <c:order val="139"/>
          <c:tx>
            <c:v>x=0.0276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2.7600000000000003E-2</c:v>
              </c:pt>
              <c:pt idx="1">
                <c:v>2.7600000000000003E-2</c:v>
              </c:pt>
            </c:numLit>
          </c:yVal>
          <c:smooth val="0"/>
          <c:extLst>
            <c:ext xmlns:c16="http://schemas.microsoft.com/office/drawing/2014/chart" uri="{C3380CC4-5D6E-409C-BE32-E72D297353CC}">
              <c16:uniqueId val="{000000A7-BD0B-42AB-8104-7FC8BCE42856}"/>
            </c:ext>
          </c:extLst>
        </c:ser>
        <c:ser>
          <c:idx val="140"/>
          <c:order val="140"/>
          <c:tx>
            <c:v>x=0.0278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2.7800000000000002E-2</c:v>
              </c:pt>
              <c:pt idx="1">
                <c:v>2.7800000000000002E-2</c:v>
              </c:pt>
            </c:numLit>
          </c:yVal>
          <c:smooth val="0"/>
          <c:extLst>
            <c:ext xmlns:c16="http://schemas.microsoft.com/office/drawing/2014/chart" uri="{C3380CC4-5D6E-409C-BE32-E72D297353CC}">
              <c16:uniqueId val="{000000A8-BD0B-42AB-8104-7FC8BCE42856}"/>
            </c:ext>
          </c:extLst>
        </c:ser>
        <c:ser>
          <c:idx val="141"/>
          <c:order val="141"/>
          <c:tx>
            <c:v>x=0.028</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0.028</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29.385320079522867</c:v>
              </c:pt>
              <c:pt idx="1">
                <c:v>50.8</c:v>
              </c:pt>
            </c:numLit>
          </c:xVal>
          <c:yVal>
            <c:numLit>
              <c:formatCode>General</c:formatCode>
              <c:ptCount val="2"/>
              <c:pt idx="0">
                <c:v>2.8000000000000001E-2</c:v>
              </c:pt>
              <c:pt idx="1">
                <c:v>2.8000000000000001E-2</c:v>
              </c:pt>
            </c:numLit>
          </c:yVal>
          <c:smooth val="0"/>
          <c:extLst>
            <c:ext xmlns:c16="http://schemas.microsoft.com/office/drawing/2014/chart" uri="{C3380CC4-5D6E-409C-BE32-E72D297353CC}">
              <c16:uniqueId val="{000000AA-BD0B-42AB-8104-7FC8BCE42856}"/>
            </c:ext>
          </c:extLst>
        </c:ser>
        <c:ser>
          <c:idx val="142"/>
          <c:order val="142"/>
          <c:tx>
            <c:v>x=0.0282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2.8200000000000003E-2</c:v>
              </c:pt>
              <c:pt idx="1">
                <c:v>2.8200000000000003E-2</c:v>
              </c:pt>
            </c:numLit>
          </c:yVal>
          <c:smooth val="0"/>
          <c:extLst>
            <c:ext xmlns:c16="http://schemas.microsoft.com/office/drawing/2014/chart" uri="{C3380CC4-5D6E-409C-BE32-E72D297353CC}">
              <c16:uniqueId val="{000000AB-BD0B-42AB-8104-7FC8BCE42856}"/>
            </c:ext>
          </c:extLst>
        </c:ser>
        <c:ser>
          <c:idx val="143"/>
          <c:order val="143"/>
          <c:tx>
            <c:v>x=0.0284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2.8400000000000002E-2</c:v>
              </c:pt>
              <c:pt idx="1">
                <c:v>2.8400000000000002E-2</c:v>
              </c:pt>
            </c:numLit>
          </c:yVal>
          <c:smooth val="0"/>
          <c:extLst>
            <c:ext xmlns:c16="http://schemas.microsoft.com/office/drawing/2014/chart" uri="{C3380CC4-5D6E-409C-BE32-E72D297353CC}">
              <c16:uniqueId val="{000000AC-BD0B-42AB-8104-7FC8BCE42856}"/>
            </c:ext>
          </c:extLst>
        </c:ser>
        <c:ser>
          <c:idx val="144"/>
          <c:order val="144"/>
          <c:tx>
            <c:v>x=0.0286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2.86E-2</c:v>
              </c:pt>
              <c:pt idx="1">
                <c:v>2.86E-2</c:v>
              </c:pt>
            </c:numLit>
          </c:yVal>
          <c:smooth val="0"/>
          <c:extLst>
            <c:ext xmlns:c16="http://schemas.microsoft.com/office/drawing/2014/chart" uri="{C3380CC4-5D6E-409C-BE32-E72D297353CC}">
              <c16:uniqueId val="{000000AD-BD0B-42AB-8104-7FC8BCE42856}"/>
            </c:ext>
          </c:extLst>
        </c:ser>
        <c:ser>
          <c:idx val="145"/>
          <c:order val="145"/>
          <c:tx>
            <c:v>x=0.0288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2.8800000000000003E-2</c:v>
              </c:pt>
              <c:pt idx="1">
                <c:v>2.8800000000000003E-2</c:v>
              </c:pt>
            </c:numLit>
          </c:yVal>
          <c:smooth val="0"/>
          <c:extLst>
            <c:ext xmlns:c16="http://schemas.microsoft.com/office/drawing/2014/chart" uri="{C3380CC4-5D6E-409C-BE32-E72D297353CC}">
              <c16:uniqueId val="{000000AE-BD0B-42AB-8104-7FC8BCE42856}"/>
            </c:ext>
          </c:extLst>
        </c:ser>
        <c:ser>
          <c:idx val="146"/>
          <c:order val="146"/>
          <c:tx>
            <c:v>x=0.029</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0.029</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29.970716302186883</c:v>
              </c:pt>
              <c:pt idx="1">
                <c:v>50.8</c:v>
              </c:pt>
            </c:numLit>
          </c:xVal>
          <c:yVal>
            <c:numLit>
              <c:formatCode>General</c:formatCode>
              <c:ptCount val="2"/>
              <c:pt idx="0">
                <c:v>2.9000000000000001E-2</c:v>
              </c:pt>
              <c:pt idx="1">
                <c:v>2.9000000000000001E-2</c:v>
              </c:pt>
            </c:numLit>
          </c:yVal>
          <c:smooth val="0"/>
          <c:extLst>
            <c:ext xmlns:c16="http://schemas.microsoft.com/office/drawing/2014/chart" uri="{C3380CC4-5D6E-409C-BE32-E72D297353CC}">
              <c16:uniqueId val="{000000B0-BD0B-42AB-8104-7FC8BCE42856}"/>
            </c:ext>
          </c:extLst>
        </c:ser>
        <c:ser>
          <c:idx val="147"/>
          <c:order val="147"/>
          <c:tx>
            <c:v>x=0.0292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2.92E-2</c:v>
              </c:pt>
              <c:pt idx="1">
                <c:v>2.92E-2</c:v>
              </c:pt>
            </c:numLit>
          </c:yVal>
          <c:smooth val="0"/>
          <c:extLst>
            <c:ext xmlns:c16="http://schemas.microsoft.com/office/drawing/2014/chart" uri="{C3380CC4-5D6E-409C-BE32-E72D297353CC}">
              <c16:uniqueId val="{000000B1-BD0B-42AB-8104-7FC8BCE42856}"/>
            </c:ext>
          </c:extLst>
        </c:ser>
        <c:ser>
          <c:idx val="148"/>
          <c:order val="148"/>
          <c:tx>
            <c:v>x=0.0294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2.9400000000000003E-2</c:v>
              </c:pt>
              <c:pt idx="1">
                <c:v>2.9400000000000003E-2</c:v>
              </c:pt>
            </c:numLit>
          </c:yVal>
          <c:smooth val="0"/>
          <c:extLst>
            <c:ext xmlns:c16="http://schemas.microsoft.com/office/drawing/2014/chart" uri="{C3380CC4-5D6E-409C-BE32-E72D297353CC}">
              <c16:uniqueId val="{000000B2-BD0B-42AB-8104-7FC8BCE42856}"/>
            </c:ext>
          </c:extLst>
        </c:ser>
        <c:ser>
          <c:idx val="149"/>
          <c:order val="149"/>
          <c:tx>
            <c:v>x=0.0296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2.9600000000000001E-2</c:v>
              </c:pt>
              <c:pt idx="1">
                <c:v>2.9600000000000001E-2</c:v>
              </c:pt>
            </c:numLit>
          </c:yVal>
          <c:smooth val="0"/>
          <c:extLst>
            <c:ext xmlns:c16="http://schemas.microsoft.com/office/drawing/2014/chart" uri="{C3380CC4-5D6E-409C-BE32-E72D297353CC}">
              <c16:uniqueId val="{000000B3-BD0B-42AB-8104-7FC8BCE42856}"/>
            </c:ext>
          </c:extLst>
        </c:ser>
        <c:ser>
          <c:idx val="150"/>
          <c:order val="150"/>
          <c:tx>
            <c:v>x=0.0298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2.98E-2</c:v>
              </c:pt>
              <c:pt idx="1">
                <c:v>2.98E-2</c:v>
              </c:pt>
            </c:numLit>
          </c:yVal>
          <c:smooth val="0"/>
          <c:extLst>
            <c:ext xmlns:c16="http://schemas.microsoft.com/office/drawing/2014/chart" uri="{C3380CC4-5D6E-409C-BE32-E72D297353CC}">
              <c16:uniqueId val="{000000B4-BD0B-42AB-8104-7FC8BCE42856}"/>
            </c:ext>
          </c:extLst>
        </c:ser>
        <c:ser>
          <c:idx val="151"/>
          <c:order val="151"/>
          <c:tx>
            <c:v>x=0.03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0.030</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30.537184890656061</c:v>
              </c:pt>
              <c:pt idx="1">
                <c:v>50.8</c:v>
              </c:pt>
            </c:numLit>
          </c:xVal>
          <c:yVal>
            <c:numLit>
              <c:formatCode>General</c:formatCode>
              <c:ptCount val="2"/>
              <c:pt idx="0">
                <c:v>3.0000000000000002E-2</c:v>
              </c:pt>
              <c:pt idx="1">
                <c:v>3.0000000000000002E-2</c:v>
              </c:pt>
            </c:numLit>
          </c:yVal>
          <c:smooth val="0"/>
          <c:extLst>
            <c:ext xmlns:c16="http://schemas.microsoft.com/office/drawing/2014/chart" uri="{C3380CC4-5D6E-409C-BE32-E72D297353CC}">
              <c16:uniqueId val="{000000B6-BD0B-42AB-8104-7FC8BCE42856}"/>
            </c:ext>
          </c:extLst>
        </c:ser>
        <c:ser>
          <c:idx val="152"/>
          <c:order val="152"/>
          <c:tx>
            <c:v>x=0.0302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3.0200000000000001E-2</c:v>
              </c:pt>
              <c:pt idx="1">
                <c:v>3.0200000000000001E-2</c:v>
              </c:pt>
            </c:numLit>
          </c:yVal>
          <c:smooth val="0"/>
          <c:extLst>
            <c:ext xmlns:c16="http://schemas.microsoft.com/office/drawing/2014/chart" uri="{C3380CC4-5D6E-409C-BE32-E72D297353CC}">
              <c16:uniqueId val="{000000B7-BD0B-42AB-8104-7FC8BCE42856}"/>
            </c:ext>
          </c:extLst>
        </c:ser>
        <c:ser>
          <c:idx val="153"/>
          <c:order val="153"/>
          <c:tx>
            <c:v>x=0.0304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3.04E-2</c:v>
              </c:pt>
              <c:pt idx="1">
                <c:v>3.04E-2</c:v>
              </c:pt>
            </c:numLit>
          </c:yVal>
          <c:smooth val="0"/>
          <c:extLst>
            <c:ext xmlns:c16="http://schemas.microsoft.com/office/drawing/2014/chart" uri="{C3380CC4-5D6E-409C-BE32-E72D297353CC}">
              <c16:uniqueId val="{000000B8-BD0B-42AB-8104-7FC8BCE42856}"/>
            </c:ext>
          </c:extLst>
        </c:ser>
        <c:ser>
          <c:idx val="154"/>
          <c:order val="154"/>
          <c:tx>
            <c:v>x=0.0306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3.0600000000000002E-2</c:v>
              </c:pt>
              <c:pt idx="1">
                <c:v>3.0600000000000002E-2</c:v>
              </c:pt>
            </c:numLit>
          </c:yVal>
          <c:smooth val="0"/>
          <c:extLst>
            <c:ext xmlns:c16="http://schemas.microsoft.com/office/drawing/2014/chart" uri="{C3380CC4-5D6E-409C-BE32-E72D297353CC}">
              <c16:uniqueId val="{000000B9-BD0B-42AB-8104-7FC8BCE42856}"/>
            </c:ext>
          </c:extLst>
        </c:ser>
        <c:ser>
          <c:idx val="155"/>
          <c:order val="155"/>
          <c:tx>
            <c:v>x=0.0308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3.0800000000000001E-2</c:v>
              </c:pt>
              <c:pt idx="1">
                <c:v>3.0800000000000001E-2</c:v>
              </c:pt>
            </c:numLit>
          </c:yVal>
          <c:smooth val="0"/>
          <c:extLst>
            <c:ext xmlns:c16="http://schemas.microsoft.com/office/drawing/2014/chart" uri="{C3380CC4-5D6E-409C-BE32-E72D297353CC}">
              <c16:uniqueId val="{000000BA-BD0B-42AB-8104-7FC8BCE42856}"/>
            </c:ext>
          </c:extLst>
        </c:ser>
        <c:ser>
          <c:idx val="156"/>
          <c:order val="156"/>
          <c:tx>
            <c:v>x=0.031</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0.031</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31.084614910536782</c:v>
              </c:pt>
              <c:pt idx="1">
                <c:v>50.8</c:v>
              </c:pt>
            </c:numLit>
          </c:xVal>
          <c:yVal>
            <c:numLit>
              <c:formatCode>General</c:formatCode>
              <c:ptCount val="2"/>
              <c:pt idx="0">
                <c:v>3.1E-2</c:v>
              </c:pt>
              <c:pt idx="1">
                <c:v>3.1E-2</c:v>
              </c:pt>
            </c:numLit>
          </c:yVal>
          <c:smooth val="0"/>
          <c:extLst>
            <c:ext xmlns:c16="http://schemas.microsoft.com/office/drawing/2014/chart" uri="{C3380CC4-5D6E-409C-BE32-E72D297353CC}">
              <c16:uniqueId val="{000000BC-BD0B-42AB-8104-7FC8BCE42856}"/>
            </c:ext>
          </c:extLst>
        </c:ser>
        <c:ser>
          <c:idx val="157"/>
          <c:order val="157"/>
          <c:tx>
            <c:v>x=0.0312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3.1200000000000002E-2</c:v>
              </c:pt>
              <c:pt idx="1">
                <c:v>3.1200000000000002E-2</c:v>
              </c:pt>
            </c:numLit>
          </c:yVal>
          <c:smooth val="0"/>
          <c:extLst>
            <c:ext xmlns:c16="http://schemas.microsoft.com/office/drawing/2014/chart" uri="{C3380CC4-5D6E-409C-BE32-E72D297353CC}">
              <c16:uniqueId val="{000000BD-BD0B-42AB-8104-7FC8BCE42856}"/>
            </c:ext>
          </c:extLst>
        </c:ser>
        <c:ser>
          <c:idx val="158"/>
          <c:order val="158"/>
          <c:tx>
            <c:v>x=0.0314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3.1400000000000004E-2</c:v>
              </c:pt>
              <c:pt idx="1">
                <c:v>3.1400000000000004E-2</c:v>
              </c:pt>
            </c:numLit>
          </c:yVal>
          <c:smooth val="0"/>
          <c:extLst>
            <c:ext xmlns:c16="http://schemas.microsoft.com/office/drawing/2014/chart" uri="{C3380CC4-5D6E-409C-BE32-E72D297353CC}">
              <c16:uniqueId val="{000000BE-BD0B-42AB-8104-7FC8BCE42856}"/>
            </c:ext>
          </c:extLst>
        </c:ser>
        <c:ser>
          <c:idx val="159"/>
          <c:order val="159"/>
          <c:tx>
            <c:v>x=0.0316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3.1600000000000003E-2</c:v>
              </c:pt>
              <c:pt idx="1">
                <c:v>3.1600000000000003E-2</c:v>
              </c:pt>
            </c:numLit>
          </c:yVal>
          <c:smooth val="0"/>
          <c:extLst>
            <c:ext xmlns:c16="http://schemas.microsoft.com/office/drawing/2014/chart" uri="{C3380CC4-5D6E-409C-BE32-E72D297353CC}">
              <c16:uniqueId val="{000000BF-BD0B-42AB-8104-7FC8BCE42856}"/>
            </c:ext>
          </c:extLst>
        </c:ser>
        <c:ser>
          <c:idx val="160"/>
          <c:order val="160"/>
          <c:tx>
            <c:v>x=0.0318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3.1800000000000002E-2</c:v>
              </c:pt>
              <c:pt idx="1">
                <c:v>3.1800000000000002E-2</c:v>
              </c:pt>
            </c:numLit>
          </c:yVal>
          <c:smooth val="0"/>
          <c:extLst>
            <c:ext xmlns:c16="http://schemas.microsoft.com/office/drawing/2014/chart" uri="{C3380CC4-5D6E-409C-BE32-E72D297353CC}">
              <c16:uniqueId val="{000000C0-BD0B-42AB-8104-7FC8BCE42856}"/>
            </c:ext>
          </c:extLst>
        </c:ser>
        <c:ser>
          <c:idx val="161"/>
          <c:order val="161"/>
          <c:tx>
            <c:v>x=0.032</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0.032</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31.623487077534794</c:v>
              </c:pt>
              <c:pt idx="1">
                <c:v>50.8</c:v>
              </c:pt>
            </c:numLit>
          </c:xVal>
          <c:yVal>
            <c:numLit>
              <c:formatCode>General</c:formatCode>
              <c:ptCount val="2"/>
              <c:pt idx="0">
                <c:v>3.2000000000000001E-2</c:v>
              </c:pt>
              <c:pt idx="1">
                <c:v>3.2000000000000001E-2</c:v>
              </c:pt>
            </c:numLit>
          </c:yVal>
          <c:smooth val="0"/>
          <c:extLst>
            <c:ext xmlns:c16="http://schemas.microsoft.com/office/drawing/2014/chart" uri="{C3380CC4-5D6E-409C-BE32-E72D297353CC}">
              <c16:uniqueId val="{000000C2-BD0B-42AB-8104-7FC8BCE42856}"/>
            </c:ext>
          </c:extLst>
        </c:ser>
        <c:ser>
          <c:idx val="162"/>
          <c:order val="162"/>
          <c:tx>
            <c:v>x=0.0322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3.2199999999999999E-2</c:v>
              </c:pt>
              <c:pt idx="1">
                <c:v>3.2199999999999999E-2</c:v>
              </c:pt>
            </c:numLit>
          </c:yVal>
          <c:smooth val="0"/>
          <c:extLst>
            <c:ext xmlns:c16="http://schemas.microsoft.com/office/drawing/2014/chart" uri="{C3380CC4-5D6E-409C-BE32-E72D297353CC}">
              <c16:uniqueId val="{000000C3-BD0B-42AB-8104-7FC8BCE42856}"/>
            </c:ext>
          </c:extLst>
        </c:ser>
        <c:ser>
          <c:idx val="163"/>
          <c:order val="163"/>
          <c:tx>
            <c:v>x=0.0324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3.2399999999999998E-2</c:v>
              </c:pt>
              <c:pt idx="1">
                <c:v>3.2399999999999998E-2</c:v>
              </c:pt>
            </c:numLit>
          </c:yVal>
          <c:smooth val="0"/>
          <c:extLst>
            <c:ext xmlns:c16="http://schemas.microsoft.com/office/drawing/2014/chart" uri="{C3380CC4-5D6E-409C-BE32-E72D297353CC}">
              <c16:uniqueId val="{000000C4-BD0B-42AB-8104-7FC8BCE42856}"/>
            </c:ext>
          </c:extLst>
        </c:ser>
        <c:ser>
          <c:idx val="164"/>
          <c:order val="164"/>
          <c:tx>
            <c:v>x=0.0326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3.2600000000000004E-2</c:v>
              </c:pt>
              <c:pt idx="1">
                <c:v>3.2600000000000004E-2</c:v>
              </c:pt>
            </c:numLit>
          </c:yVal>
          <c:smooth val="0"/>
          <c:extLst>
            <c:ext xmlns:c16="http://schemas.microsoft.com/office/drawing/2014/chart" uri="{C3380CC4-5D6E-409C-BE32-E72D297353CC}">
              <c16:uniqueId val="{000000C5-BD0B-42AB-8104-7FC8BCE42856}"/>
            </c:ext>
          </c:extLst>
        </c:ser>
        <c:ser>
          <c:idx val="165"/>
          <c:order val="165"/>
          <c:tx>
            <c:v>x=0.0328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3.2800000000000003E-2</c:v>
              </c:pt>
              <c:pt idx="1">
                <c:v>3.2800000000000003E-2</c:v>
              </c:pt>
            </c:numLit>
          </c:yVal>
          <c:smooth val="0"/>
          <c:extLst>
            <c:ext xmlns:c16="http://schemas.microsoft.com/office/drawing/2014/chart" uri="{C3380CC4-5D6E-409C-BE32-E72D297353CC}">
              <c16:uniqueId val="{000000C6-BD0B-42AB-8104-7FC8BCE42856}"/>
            </c:ext>
          </c:extLst>
        </c:ser>
        <c:ser>
          <c:idx val="166"/>
          <c:order val="166"/>
          <c:tx>
            <c:v>x=0.033</c:v>
          </c:tx>
          <c:spPr>
            <a:ln w="3175">
              <a:solidFill>
                <a:srgbClr val="969696"/>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0.033</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32.143135785288273</c:v>
              </c:pt>
              <c:pt idx="1">
                <c:v>50.8</c:v>
              </c:pt>
            </c:numLit>
          </c:xVal>
          <c:yVal>
            <c:numLit>
              <c:formatCode>General</c:formatCode>
              <c:ptCount val="2"/>
              <c:pt idx="0">
                <c:v>3.3000000000000002E-2</c:v>
              </c:pt>
              <c:pt idx="1">
                <c:v>3.3000000000000002E-2</c:v>
              </c:pt>
            </c:numLit>
          </c:yVal>
          <c:smooth val="0"/>
          <c:extLst>
            <c:ext xmlns:c16="http://schemas.microsoft.com/office/drawing/2014/chart" uri="{C3380CC4-5D6E-409C-BE32-E72D297353CC}">
              <c16:uniqueId val="{000000C8-BD0B-42AB-8104-7FC8BCE42856}"/>
            </c:ext>
          </c:extLst>
        </c:ser>
        <c:ser>
          <c:idx val="167"/>
          <c:order val="167"/>
          <c:tx>
            <c:v>x=0.0332</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3.32E-2</c:v>
              </c:pt>
              <c:pt idx="1">
                <c:v>3.32E-2</c:v>
              </c:pt>
            </c:numLit>
          </c:yVal>
          <c:smooth val="0"/>
          <c:extLst>
            <c:ext xmlns:c16="http://schemas.microsoft.com/office/drawing/2014/chart" uri="{C3380CC4-5D6E-409C-BE32-E72D297353CC}">
              <c16:uniqueId val="{000000C9-BD0B-42AB-8104-7FC8BCE42856}"/>
            </c:ext>
          </c:extLst>
        </c:ser>
        <c:ser>
          <c:idx val="168"/>
          <c:order val="168"/>
          <c:tx>
            <c:v>x=0.0334</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3.3399999999999999E-2</c:v>
              </c:pt>
              <c:pt idx="1">
                <c:v>3.3399999999999999E-2</c:v>
              </c:pt>
            </c:numLit>
          </c:yVal>
          <c:smooth val="0"/>
          <c:extLst>
            <c:ext xmlns:c16="http://schemas.microsoft.com/office/drawing/2014/chart" uri="{C3380CC4-5D6E-409C-BE32-E72D297353CC}">
              <c16:uniqueId val="{000000CA-BD0B-42AB-8104-7FC8BCE42856}"/>
            </c:ext>
          </c:extLst>
        </c:ser>
        <c:ser>
          <c:idx val="169"/>
          <c:order val="169"/>
          <c:tx>
            <c:v>x=0.0336</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3.3600000000000005E-2</c:v>
              </c:pt>
              <c:pt idx="1">
                <c:v>3.3600000000000005E-2</c:v>
              </c:pt>
            </c:numLit>
          </c:yVal>
          <c:smooth val="0"/>
          <c:extLst>
            <c:ext xmlns:c16="http://schemas.microsoft.com/office/drawing/2014/chart" uri="{C3380CC4-5D6E-409C-BE32-E72D297353CC}">
              <c16:uniqueId val="{000000CB-BD0B-42AB-8104-7FC8BCE42856}"/>
            </c:ext>
          </c:extLst>
        </c:ser>
        <c:ser>
          <c:idx val="170"/>
          <c:order val="170"/>
          <c:tx>
            <c:v>x=0.0338</c:v>
          </c:tx>
          <c:spPr>
            <a:ln w="3175">
              <a:solidFill>
                <a:srgbClr val="969696"/>
              </a:solidFill>
              <a:prstDash val="solid"/>
            </a:ln>
          </c:spPr>
          <c:marker>
            <c:symbol val="none"/>
          </c:marker>
          <c:xVal>
            <c:numLit>
              <c:formatCode>General</c:formatCode>
              <c:ptCount val="2"/>
              <c:pt idx="0">
                <c:v>50.5</c:v>
              </c:pt>
              <c:pt idx="1">
                <c:v>50.8</c:v>
              </c:pt>
            </c:numLit>
          </c:xVal>
          <c:yVal>
            <c:numLit>
              <c:formatCode>General</c:formatCode>
              <c:ptCount val="2"/>
              <c:pt idx="0">
                <c:v>3.3800000000000004E-2</c:v>
              </c:pt>
              <c:pt idx="1">
                <c:v>3.3800000000000004E-2</c:v>
              </c:pt>
            </c:numLit>
          </c:yVal>
          <c:smooth val="0"/>
          <c:extLst>
            <c:ext xmlns:c16="http://schemas.microsoft.com/office/drawing/2014/chart" uri="{C3380CC4-5D6E-409C-BE32-E72D297353CC}">
              <c16:uniqueId val="{000000CC-BD0B-42AB-8104-7FC8BCE42856}"/>
            </c:ext>
          </c:extLst>
        </c:ser>
        <c:ser>
          <c:idx val="171"/>
          <c:order val="171"/>
          <c:tx>
            <c:v>x=0.034</c:v>
          </c:tx>
          <c:spPr>
            <a:ln w="3175">
              <a:solidFill>
                <a:srgbClr val="000000"/>
              </a:solidFill>
              <a:prstDash val="solid"/>
            </a:ln>
          </c:spPr>
          <c:marker>
            <c:symbol val="none"/>
          </c:marker>
          <c:dLbls>
            <c:dLbl>
              <c:idx val="1"/>
              <c:tx>
                <c:rich>
                  <a:bodyPr rot="0" vert="horz" wrap="square" lIns="38100" tIns="19050" rIns="38100" bIns="19050" anchor="ctr">
                    <a:spAutoFit/>
                  </a:bodyPr>
                  <a:lstStyle/>
                  <a:p>
                    <a:pPr algn="r">
                      <a:defRPr altLang="ja-JP" sz="700" b="0" i="0" u="none" strike="noStrike" baseline="0">
                        <a:solidFill>
                          <a:srgbClr val="000000"/>
                        </a:solidFill>
                        <a:latin typeface="ＭＳ Ｐ明朝"/>
                        <a:ea typeface="ＭＳ Ｐ明朝"/>
                        <a:cs typeface="ＭＳ Ｐ明朝"/>
                      </a:defRPr>
                    </a:pPr>
                    <a:r>
                      <a:rPr lang="en-US"/>
                      <a:t>0.034</a:t>
                    </a:r>
                    <a:endParaRPr lang="en-US" altLang="ja-JP"/>
                  </a:p>
                </c:rich>
              </c:tx>
              <c:spPr>
                <a:noFill/>
                <a:ln>
                  <a:noFill/>
                </a:ln>
                <a:effectLst/>
              </c:sp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-10.178000000000001</c:v>
              </c:pt>
              <c:pt idx="1">
                <c:v>50.8</c:v>
              </c:pt>
            </c:numLit>
          </c:xVal>
          <c:yVal>
            <c:numLit>
              <c:formatCode>General</c:formatCode>
              <c:ptCount val="2"/>
              <c:pt idx="0">
                <c:v>3.4000000000000002E-2</c:v>
              </c:pt>
              <c:pt idx="1">
                <c:v>3.4000000000000002E-2</c:v>
              </c:pt>
            </c:numLit>
          </c:yVal>
          <c:smooth val="0"/>
          <c:extLst>
            <c:ext xmlns:c16="http://schemas.microsoft.com/office/drawing/2014/chart" uri="{C3380CC4-5D6E-409C-BE32-E72D297353CC}">
              <c16:uniqueId val="{000000CE-BD0B-42AB-8104-7FC8BCE42856}"/>
            </c:ext>
          </c:extLst>
        </c:ser>
        <c:ser>
          <c:idx val="172"/>
          <c:order val="172"/>
          <c:tx>
            <c:v>絶対湿度座標軸ラベル</c:v>
          </c:tx>
          <c:spPr>
            <a:ln w="3175">
              <a:solidFill>
                <a:srgbClr val="000000"/>
              </a:solidFill>
              <a:prstDash val="solid"/>
            </a:ln>
          </c:spPr>
          <c:marker>
            <c:symbol val="none"/>
          </c:marker>
          <c:dLbls>
            <c:dLbl>
              <c:idx val="0"/>
              <c:layout>
                <c:manualLayout>
                  <c:x val="3.8194444444444448E-2"/>
                  <c:y val="0"/>
                </c:manualLayout>
              </c:layout>
              <c:tx>
                <c:rich>
                  <a:bodyPr rot="-540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絶対湿度 </a:t>
                    </a:r>
                    <a:r>
                      <a:rPr lang="en-US"/>
                      <a:t>x[kg/kg(DA)]</a:t>
                    </a:r>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C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50.8</c:v>
              </c:pt>
            </c:numLit>
          </c:xVal>
          <c:yVal>
            <c:numLit>
              <c:formatCode>General</c:formatCode>
              <c:ptCount val="1"/>
              <c:pt idx="0">
                <c:v>1.7000000000000001E-2</c:v>
              </c:pt>
            </c:numLit>
          </c:yVal>
          <c:smooth val="0"/>
          <c:extLst>
            <c:ext xmlns:c16="http://schemas.microsoft.com/office/drawing/2014/chart" uri="{C3380CC4-5D6E-409C-BE32-E72D297353CC}">
              <c16:uniqueId val="{000000D0-BD0B-42AB-8104-7FC8BCE42856}"/>
            </c:ext>
          </c:extLst>
        </c:ser>
        <c:ser>
          <c:idx val="173"/>
          <c:order val="173"/>
          <c:tx>
            <c:v>WB=-8</c:v>
          </c:tx>
          <c:spPr>
            <a:ln w="3175">
              <a:solidFill>
                <a:srgbClr val="3366FF"/>
              </a:solidFill>
              <a:prstDash val="sysDash"/>
            </a:ln>
          </c:spPr>
          <c:marker>
            <c:symbol val="none"/>
          </c:marker>
          <c:dLbls>
            <c:dLbl>
              <c:idx val="0"/>
              <c:layout>
                <c:manualLayout>
                  <c:x val="-2.73093011811023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-8.2055155451094635</c:v>
              </c:pt>
              <c:pt idx="1">
                <c:v>-2.5964270935913616</c:v>
              </c:pt>
            </c:numLit>
          </c:xVal>
          <c:yVal>
            <c:numLit>
              <c:formatCode>General</c:formatCode>
              <c:ptCount val="2"/>
              <c:pt idx="0">
                <c:v>1.9164686538757729E-3</c:v>
              </c:pt>
              <c:pt idx="1">
                <c:v>0</c:v>
              </c:pt>
            </c:numLit>
          </c:yVal>
          <c:smooth val="0"/>
          <c:extLst>
            <c:ext xmlns:c16="http://schemas.microsoft.com/office/drawing/2014/chart" uri="{C3380CC4-5D6E-409C-BE32-E72D297353CC}">
              <c16:uniqueId val="{000000D2-BD0B-42AB-8104-7FC8BCE42856}"/>
            </c:ext>
          </c:extLst>
        </c:ser>
        <c:ser>
          <c:idx val="174"/>
          <c:order val="174"/>
          <c:tx>
            <c:v>WB=-7</c:v>
          </c:tx>
          <c:spPr>
            <a:ln w="3175">
              <a:solidFill>
                <a:srgbClr val="3366FF"/>
              </a:solidFill>
              <a:prstDash val="sysDash"/>
            </a:ln>
          </c:spPr>
          <c:marker>
            <c:symbol val="none"/>
          </c:marker>
          <c:dLbls>
            <c:dLbl>
              <c:idx val="0"/>
              <c:layout>
                <c:manualLayout>
                  <c:x val="-2.73093011811023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-7.22041332968442</c:v>
              </c:pt>
              <c:pt idx="1">
                <c:v>-1.1035359511019402</c:v>
              </c:pt>
            </c:numLit>
          </c:xVal>
          <c:yVal>
            <c:numLit>
              <c:formatCode>General</c:formatCode>
              <c:ptCount val="2"/>
              <c:pt idx="0">
                <c:v>2.0914526472602013E-3</c:v>
              </c:pt>
              <c:pt idx="1">
                <c:v>0</c:v>
              </c:pt>
            </c:numLit>
          </c:yVal>
          <c:smooth val="0"/>
          <c:extLst>
            <c:ext xmlns:c16="http://schemas.microsoft.com/office/drawing/2014/chart" uri="{C3380CC4-5D6E-409C-BE32-E72D297353CC}">
              <c16:uniqueId val="{000000D4-BD0B-42AB-8104-7FC8BCE42856}"/>
            </c:ext>
          </c:extLst>
        </c:ser>
        <c:ser>
          <c:idx val="175"/>
          <c:order val="175"/>
          <c:tx>
            <c:v>WB=-6</c:v>
          </c:tx>
          <c:spPr>
            <a:ln w="3175">
              <a:solidFill>
                <a:srgbClr val="3366FF"/>
              </a:solidFill>
              <a:prstDash val="sysDash"/>
            </a:ln>
          </c:spPr>
          <c:marker>
            <c:symbol val="none"/>
          </c:marker>
          <c:dLbls>
            <c:dLbl>
              <c:idx val="0"/>
              <c:layout>
                <c:manualLayout>
                  <c:x val="-2.730930118110237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-6.2361685593886982</c:v>
              </c:pt>
              <c:pt idx="1">
                <c:v>0.43023773127142068</c:v>
              </c:pt>
            </c:numLit>
          </c:xVal>
          <c:yVal>
            <c:numLit>
              <c:formatCode>General</c:formatCode>
              <c:ptCount val="2"/>
              <c:pt idx="0">
                <c:v>2.2809674610698065E-3</c:v>
              </c:pt>
              <c:pt idx="1">
                <c:v>0</c:v>
              </c:pt>
            </c:numLit>
          </c:yVal>
          <c:smooth val="0"/>
          <c:extLst>
            <c:ext xmlns:c16="http://schemas.microsoft.com/office/drawing/2014/chart" uri="{C3380CC4-5D6E-409C-BE32-E72D297353CC}">
              <c16:uniqueId val="{000000D6-BD0B-42AB-8104-7FC8BCE42856}"/>
            </c:ext>
          </c:extLst>
        </c:ser>
        <c:ser>
          <c:idx val="176"/>
          <c:order val="176"/>
          <c:tx>
            <c:v>WB=-5</c:v>
          </c:tx>
          <c:spPr>
            <a:ln w="3175">
              <a:solidFill>
                <a:srgbClr val="3366FF"/>
              </a:solidFill>
              <a:prstDash val="sysDash"/>
            </a:ln>
          </c:spPr>
          <c:marker>
            <c:symbol val="none"/>
          </c:marker>
          <c:dLbls>
            <c:dLbl>
              <c:idx val="0"/>
              <c:layout>
                <c:manualLayout>
                  <c:x val="-2.7309301181102363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-5.2528112525852375</c:v>
              </c:pt>
              <c:pt idx="1">
                <c:v>2.007950163121949</c:v>
              </c:pt>
            </c:numLit>
          </c:xVal>
          <c:yVal>
            <c:numLit>
              <c:formatCode>General</c:formatCode>
              <c:ptCount val="2"/>
              <c:pt idx="0">
                <c:v>2.4861008807502316E-3</c:v>
              </c:pt>
              <c:pt idx="1">
                <c:v>0</c:v>
              </c:pt>
            </c:numLit>
          </c:yVal>
          <c:smooth val="0"/>
          <c:extLst>
            <c:ext xmlns:c16="http://schemas.microsoft.com/office/drawing/2014/chart" uri="{C3380CC4-5D6E-409C-BE32-E72D297353CC}">
              <c16:uniqueId val="{000000D8-BD0B-42AB-8104-7FC8BCE42856}"/>
            </c:ext>
          </c:extLst>
        </c:ser>
        <c:ser>
          <c:idx val="177"/>
          <c:order val="177"/>
          <c:tx>
            <c:v>WB=-4</c:v>
          </c:tx>
          <c:spPr>
            <a:ln w="3175">
              <a:solidFill>
                <a:srgbClr val="3366FF"/>
              </a:solidFill>
              <a:prstDash val="sysDash"/>
            </a:ln>
          </c:spPr>
          <c:marker>
            <c:symbol val="none"/>
          </c:marker>
          <c:dLbls>
            <c:dLbl>
              <c:idx val="0"/>
              <c:layout>
                <c:manualLayout>
                  <c:x val="-2.7309301181102377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-4.2703706848883494</c:v>
              </c:pt>
              <c:pt idx="1">
                <c:v>3.6328626927800842</c:v>
              </c:pt>
            </c:numLit>
          </c:xVal>
          <c:yVal>
            <c:numLit>
              <c:formatCode>General</c:formatCode>
              <c:ptCount val="2"/>
              <c:pt idx="0">
                <c:v>2.7080138291286308E-3</c:v>
              </c:pt>
              <c:pt idx="1">
                <c:v>0</c:v>
              </c:pt>
            </c:numLit>
          </c:yVal>
          <c:smooth val="0"/>
          <c:extLst>
            <c:ext xmlns:c16="http://schemas.microsoft.com/office/drawing/2014/chart" uri="{C3380CC4-5D6E-409C-BE32-E72D297353CC}">
              <c16:uniqueId val="{000000DA-BD0B-42AB-8104-7FC8BCE42856}"/>
            </c:ext>
          </c:extLst>
        </c:ser>
        <c:ser>
          <c:idx val="178"/>
          <c:order val="178"/>
          <c:tx>
            <c:v>WB=-3</c:v>
          </c:tx>
          <c:spPr>
            <a:ln w="3175">
              <a:solidFill>
                <a:srgbClr val="3366FF"/>
              </a:solidFill>
              <a:prstDash val="sysDash"/>
            </a:ln>
          </c:spPr>
          <c:marker>
            <c:symbol val="none"/>
          </c:marker>
          <c:dLbls>
            <c:dLbl>
              <c:idx val="0"/>
              <c:layout>
                <c:manualLayout>
                  <c:x val="-2.7309301181102377E-2"/>
                  <c:y val="-4.2735042735044301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-3.2888751544738279</c:v>
              </c:pt>
              <c:pt idx="1">
                <c:v>5.3084544187917393</c:v>
              </c:pt>
            </c:numLit>
          </c:xVal>
          <c:yVal>
            <c:numLit>
              <c:formatCode>General</c:formatCode>
              <c:ptCount val="2"/>
              <c:pt idx="0">
                <c:v>2.9479448711774276E-3</c:v>
              </c:pt>
              <c:pt idx="1">
                <c:v>0</c:v>
              </c:pt>
            </c:numLit>
          </c:yVal>
          <c:smooth val="0"/>
          <c:extLst>
            <c:ext xmlns:c16="http://schemas.microsoft.com/office/drawing/2014/chart" uri="{C3380CC4-5D6E-409C-BE32-E72D297353CC}">
              <c16:uniqueId val="{000000DC-BD0B-42AB-8104-7FC8BCE42856}"/>
            </c:ext>
          </c:extLst>
        </c:ser>
        <c:ser>
          <c:idx val="179"/>
          <c:order val="179"/>
          <c:tx>
            <c:v>WB=-2</c:v>
          </c:tx>
          <c:spPr>
            <a:ln w="3175">
              <a:solidFill>
                <a:srgbClr val="3366FF"/>
              </a:solidFill>
              <a:prstDash val="sysDash"/>
            </a:ln>
          </c:spPr>
          <c:marker>
            <c:symbol val="none"/>
          </c:marker>
          <c:dLbls>
            <c:dLbl>
              <c:idx val="0"/>
              <c:layout>
                <c:manualLayout>
                  <c:x val="-2.7309301181102363E-2"/>
                  <c:y val="-4.2735042735044301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-2.3083517242375029</c:v>
              </c:pt>
              <c:pt idx="1">
                <c:v>7.0384355813391366</c:v>
              </c:pt>
            </c:numLit>
          </c:xVal>
          <c:yVal>
            <c:numLit>
              <c:formatCode>General</c:formatCode>
              <c:ptCount val="2"/>
              <c:pt idx="0">
                <c:v>3.2072149977556683E-3</c:v>
              </c:pt>
              <c:pt idx="1">
                <c:v>0</c:v>
              </c:pt>
            </c:numLit>
          </c:yVal>
          <c:smooth val="0"/>
          <c:extLst>
            <c:ext xmlns:c16="http://schemas.microsoft.com/office/drawing/2014/chart" uri="{C3380CC4-5D6E-409C-BE32-E72D297353CC}">
              <c16:uniqueId val="{000000DE-BD0B-42AB-8104-7FC8BCE42856}"/>
            </c:ext>
          </c:extLst>
        </c:ser>
        <c:ser>
          <c:idx val="180"/>
          <c:order val="180"/>
          <c:tx>
            <c:v>WB=-1</c:v>
          </c:tx>
          <c:spPr>
            <a:ln w="3175">
              <a:solidFill>
                <a:srgbClr val="3366FF"/>
              </a:solidFill>
              <a:prstDash val="sysDash"/>
            </a:ln>
          </c:spPr>
          <c:marker>
            <c:symbol val="none"/>
          </c:marker>
          <c:dLbls>
            <c:dLbl>
              <c:idx val="0"/>
              <c:layout>
                <c:manualLayout>
                  <c:x val="-2.7309301181102363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D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-1.3288259391909207</c:v>
              </c:pt>
              <c:pt idx="1">
                <c:v>8.8267617928991733</c:v>
              </c:pt>
            </c:numLit>
          </c:xVal>
          <c:yVal>
            <c:numLit>
              <c:formatCode>General</c:formatCode>
              <c:ptCount val="2"/>
              <c:pt idx="0">
                <c:v>3.4872327095305327E-3</c:v>
              </c:pt>
              <c:pt idx="1">
                <c:v>0</c:v>
              </c:pt>
            </c:numLit>
          </c:yVal>
          <c:smooth val="0"/>
          <c:extLst>
            <c:ext xmlns:c16="http://schemas.microsoft.com/office/drawing/2014/chart" uri="{C3380CC4-5D6E-409C-BE32-E72D297353CC}">
              <c16:uniqueId val="{000000E0-BD0B-42AB-8104-7FC8BCE42856}"/>
            </c:ext>
          </c:extLst>
        </c:ser>
        <c:ser>
          <c:idx val="181"/>
          <c:order val="181"/>
          <c:tx>
            <c:v>WB=0</c:v>
          </c:tx>
          <c:spPr>
            <a:ln w="3175">
              <a:solidFill>
                <a:srgbClr val="3366FF"/>
              </a:solidFill>
              <a:prstDash val="sysDash"/>
            </a:ln>
          </c:spPr>
          <c:marker>
            <c:symbol val="none"/>
          </c:marker>
          <c:dLbls>
            <c:dLbl>
              <c:idx val="0"/>
              <c:layout>
                <c:manualLayout>
                  <c:x val="-2.6025399168853925E-2"/>
                  <c:y val="-4.2735042735042739E-3"/>
                </c:manualLayout>
              </c:layout>
              <c:tx>
                <c:rich>
                  <a:bodyPr rot="-390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E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-0.35032151737137113</c:v>
              </c:pt>
              <c:pt idx="1">
                <c:v>10.677649173557942</c:v>
              </c:pt>
            </c:numLit>
          </c:xVal>
          <c:yVal>
            <c:numLit>
              <c:formatCode>General</c:formatCode>
              <c:ptCount val="2"/>
              <c:pt idx="0">
                <c:v>3.7894994244688104E-3</c:v>
              </c:pt>
              <c:pt idx="1">
                <c:v>0</c:v>
              </c:pt>
            </c:numLit>
          </c:yVal>
          <c:smooth val="0"/>
          <c:extLst>
            <c:ext xmlns:c16="http://schemas.microsoft.com/office/drawing/2014/chart" uri="{C3380CC4-5D6E-409C-BE32-E72D297353CC}">
              <c16:uniqueId val="{000000E2-BD0B-42AB-8104-7FC8BCE42856}"/>
            </c:ext>
          </c:extLst>
        </c:ser>
        <c:ser>
          <c:idx val="182"/>
          <c:order val="182"/>
          <c:tx>
            <c:v>WB=1</c:v>
          </c:tx>
          <c:spPr>
            <a:ln w="3175">
              <a:solidFill>
                <a:srgbClr val="3366FF"/>
              </a:solidFill>
              <a:prstDash val="sysDash"/>
            </a:ln>
          </c:spPr>
          <c:marker>
            <c:symbol val="none"/>
          </c:marker>
          <c:dLbls>
            <c:dLbl>
              <c:idx val="0"/>
              <c:layout>
                <c:manualLayout>
                  <c:x val="-2.6166338582677195E-2"/>
                  <c:y val="-4.2735042735044301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E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0.63072878902048002</c:v>
              </c:pt>
              <c:pt idx="1">
                <c:v>11.123857513967971</c:v>
              </c:pt>
            </c:numLit>
          </c:xVal>
          <c:yVal>
            <c:numLit>
              <c:formatCode>General</c:formatCode>
              <c:ptCount val="2"/>
              <c:pt idx="0">
                <c:v>4.076002175174424E-3</c:v>
              </c:pt>
              <c:pt idx="1">
                <c:v>0</c:v>
              </c:pt>
            </c:numLit>
          </c:yVal>
          <c:smooth val="0"/>
          <c:extLst>
            <c:ext xmlns:c16="http://schemas.microsoft.com/office/drawing/2014/chart" uri="{C3380CC4-5D6E-409C-BE32-E72D297353CC}">
              <c16:uniqueId val="{000000E4-BD0B-42AB-8104-7FC8BCE42856}"/>
            </c:ext>
          </c:extLst>
        </c:ser>
        <c:ser>
          <c:idx val="183"/>
          <c:order val="183"/>
          <c:tx>
            <c:v>WB=2</c:v>
          </c:tx>
          <c:spPr>
            <a:ln w="3175">
              <a:solidFill>
                <a:srgbClr val="3366FF"/>
              </a:solidFill>
              <a:prstDash val="sysDash"/>
            </a:ln>
          </c:spPr>
          <c:marker>
            <c:symbol val="none"/>
          </c:marker>
          <c:dLbls>
            <c:dLbl>
              <c:idx val="0"/>
              <c:layout>
                <c:manualLayout>
                  <c:x val="-2.6166338582677164E-2"/>
                  <c:y val="-4.2735042735044301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E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1.6111719572746135</c:v>
              </c:pt>
              <c:pt idx="1">
                <c:v>12.871977002704231</c:v>
              </c:pt>
            </c:numLit>
          </c:xVal>
          <c:yVal>
            <c:numLit>
              <c:formatCode>General</c:formatCode>
              <c:ptCount val="2"/>
              <c:pt idx="0">
                <c:v>4.3812837251538872E-3</c:v>
              </c:pt>
              <c:pt idx="1">
                <c:v>0</c:v>
              </c:pt>
            </c:numLit>
          </c:yVal>
          <c:smooth val="0"/>
          <c:extLst>
            <c:ext xmlns:c16="http://schemas.microsoft.com/office/drawing/2014/chart" uri="{C3380CC4-5D6E-409C-BE32-E72D297353CC}">
              <c16:uniqueId val="{000000E6-BD0B-42AB-8104-7FC8BCE42856}"/>
            </c:ext>
          </c:extLst>
        </c:ser>
        <c:ser>
          <c:idx val="184"/>
          <c:order val="184"/>
          <c:tx>
            <c:v>WB=3</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E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2.5909827527240186</c:v>
              </c:pt>
              <c:pt idx="1">
                <c:v>14.668931744288928</c:v>
              </c:pt>
            </c:numLit>
          </c:xVal>
          <c:yVal>
            <c:numLit>
              <c:formatCode>General</c:formatCode>
              <c:ptCount val="2"/>
              <c:pt idx="0">
                <c:v>4.7068331132422495E-3</c:v>
              </c:pt>
              <c:pt idx="1">
                <c:v>0</c:v>
              </c:pt>
            </c:numLit>
          </c:yVal>
          <c:smooth val="0"/>
          <c:extLst>
            <c:ext xmlns:c16="http://schemas.microsoft.com/office/drawing/2014/chart" uri="{C3380CC4-5D6E-409C-BE32-E72D297353CC}">
              <c16:uniqueId val="{000000E8-BD0B-42AB-8104-7FC8BCE42856}"/>
            </c:ext>
          </c:extLst>
        </c:ser>
        <c:ser>
          <c:idx val="185"/>
          <c:order val="185"/>
          <c:tx>
            <c:v>WB=4</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E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3.5701735744985212</c:v>
              </c:pt>
              <c:pt idx="1">
                <c:v>16.517493982191819</c:v>
              </c:pt>
            </c:numLit>
          </c:xVal>
          <c:yVal>
            <c:numLit>
              <c:formatCode>General</c:formatCode>
              <c:ptCount val="2"/>
              <c:pt idx="0">
                <c:v>5.0538263680982628E-3</c:v>
              </c:pt>
              <c:pt idx="1">
                <c:v>0</c:v>
              </c:pt>
            </c:numLit>
          </c:yVal>
          <c:smooth val="0"/>
          <c:extLst>
            <c:ext xmlns:c16="http://schemas.microsoft.com/office/drawing/2014/chart" uri="{C3380CC4-5D6E-409C-BE32-E72D297353CC}">
              <c16:uniqueId val="{000000EA-BD0B-42AB-8104-7FC8BCE42856}"/>
            </c:ext>
          </c:extLst>
        </c:ser>
        <c:ser>
          <c:idx val="186"/>
          <c:order val="186"/>
          <c:tx>
            <c:v>WB=5</c:v>
          </c:tx>
          <c:spPr>
            <a:ln w="3175">
              <a:solidFill>
                <a:srgbClr val="3366FF"/>
              </a:solidFill>
              <a:prstDash val="sysDash"/>
            </a:ln>
          </c:spPr>
          <c:marker>
            <c:symbol val="none"/>
          </c:marker>
          <c:dLbls>
            <c:dLbl>
              <c:idx val="0"/>
              <c:layout>
                <c:manualLayout>
                  <c:x val="-2.6166338582677195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E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4.5487605635344499</c:v>
              </c:pt>
              <c:pt idx="1">
                <c:v>18.420572472571656</c:v>
              </c:pt>
            </c:numLit>
          </c:xVal>
          <c:yVal>
            <c:numLit>
              <c:formatCode>General</c:formatCode>
              <c:ptCount val="2"/>
              <c:pt idx="0">
                <c:v>5.4234990810554818E-3</c:v>
              </c:pt>
              <c:pt idx="1">
                <c:v>0</c:v>
              </c:pt>
            </c:numLit>
          </c:yVal>
          <c:smooth val="0"/>
          <c:extLst>
            <c:ext xmlns:c16="http://schemas.microsoft.com/office/drawing/2014/chart" uri="{C3380CC4-5D6E-409C-BE32-E72D297353CC}">
              <c16:uniqueId val="{000000EC-BD0B-42AB-8104-7FC8BCE42856}"/>
            </c:ext>
          </c:extLst>
        </c:ser>
        <c:ser>
          <c:idx val="187"/>
          <c:order val="187"/>
          <c:tx>
            <c:v>WB=6</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E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5.5267544089063207</c:v>
              </c:pt>
              <c:pt idx="1">
                <c:v>20.381507916128903</c:v>
              </c:pt>
            </c:numLit>
          </c:xVal>
          <c:yVal>
            <c:numLit>
              <c:formatCode>General</c:formatCode>
              <c:ptCount val="2"/>
              <c:pt idx="0">
                <c:v>5.8172661857312045E-3</c:v>
              </c:pt>
              <c:pt idx="1">
                <c:v>0</c:v>
              </c:pt>
            </c:numLit>
          </c:yVal>
          <c:smooth val="0"/>
          <c:extLst>
            <c:ext xmlns:c16="http://schemas.microsoft.com/office/drawing/2014/chart" uri="{C3380CC4-5D6E-409C-BE32-E72D297353CC}">
              <c16:uniqueId val="{000000EE-BD0B-42AB-8104-7FC8BCE42856}"/>
            </c:ext>
          </c:extLst>
        </c:ser>
        <c:ser>
          <c:idx val="188"/>
          <c:order val="188"/>
          <c:tx>
            <c:v>WB=7</c:v>
          </c:tx>
          <c:spPr>
            <a:ln w="3175">
              <a:solidFill>
                <a:srgbClr val="3366FF"/>
              </a:solidFill>
              <a:prstDash val="sysDash"/>
            </a:ln>
          </c:spPr>
          <c:marker>
            <c:symbol val="none"/>
          </c:marker>
          <c:dLbls>
            <c:dLbl>
              <c:idx val="0"/>
              <c:layout>
                <c:manualLayout>
                  <c:x val="-2.6166338582677195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E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6.5041883174927406</c:v>
              </c:pt>
              <c:pt idx="1">
                <c:v>22.403253465067159</c:v>
              </c:pt>
            </c:numLit>
          </c:xVal>
          <c:yVal>
            <c:numLit>
              <c:formatCode>General</c:formatCode>
              <c:ptCount val="2"/>
              <c:pt idx="0">
                <c:v>6.236391005280101E-3</c:v>
              </c:pt>
              <c:pt idx="1">
                <c:v>0</c:v>
              </c:pt>
            </c:numLit>
          </c:yVal>
          <c:smooth val="0"/>
          <c:extLst>
            <c:ext xmlns:c16="http://schemas.microsoft.com/office/drawing/2014/chart" uri="{C3380CC4-5D6E-409C-BE32-E72D297353CC}">
              <c16:uniqueId val="{000000F0-BD0B-42AB-8104-7FC8BCE42856}"/>
            </c:ext>
          </c:extLst>
        </c:ser>
        <c:ser>
          <c:idx val="189"/>
          <c:order val="189"/>
          <c:tx>
            <c:v>WB=8</c:v>
          </c:tx>
          <c:spPr>
            <a:ln w="3175">
              <a:solidFill>
                <a:srgbClr val="3366FF"/>
              </a:solidFill>
              <a:prstDash val="sysDash"/>
            </a:ln>
          </c:spPr>
          <c:marker>
            <c:symbol val="none"/>
          </c:marker>
          <c:dLbls>
            <c:dLbl>
              <c:idx val="0"/>
              <c:layout>
                <c:manualLayout>
                  <c:x val="-2.6166338582677164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F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7.481091633037142</c:v>
              </c:pt>
              <c:pt idx="1">
                <c:v>24.489170236580446</c:v>
              </c:pt>
            </c:numLit>
          </c:xVal>
          <c:yVal>
            <c:numLit>
              <c:formatCode>General</c:formatCode>
              <c:ptCount val="2"/>
              <c:pt idx="0">
                <c:v>6.6823069273506883E-3</c:v>
              </c:pt>
              <c:pt idx="1">
                <c:v>0</c:v>
              </c:pt>
            </c:numLit>
          </c:yVal>
          <c:smooth val="0"/>
          <c:extLst>
            <c:ext xmlns:c16="http://schemas.microsoft.com/office/drawing/2014/chart" uri="{C3380CC4-5D6E-409C-BE32-E72D297353CC}">
              <c16:uniqueId val="{000000F2-BD0B-42AB-8104-7FC8BCE42856}"/>
            </c:ext>
          </c:extLst>
        </c:ser>
        <c:ser>
          <c:idx val="190"/>
          <c:order val="190"/>
          <c:tx>
            <c:v>WB=9</c:v>
          </c:tx>
          <c:spPr>
            <a:ln w="3175">
              <a:solidFill>
                <a:srgbClr val="3366FF"/>
              </a:solidFill>
              <a:prstDash val="sysDash"/>
            </a:ln>
          </c:spPr>
          <c:marker>
            <c:symbol val="none"/>
          </c:marker>
          <c:dLbls>
            <c:dLbl>
              <c:idx val="0"/>
              <c:layout>
                <c:manualLayout>
                  <c:x val="-2.616633858267723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F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8.4574988517709855</c:v>
              </c:pt>
              <c:pt idx="1">
                <c:v>26.642783276734082</c:v>
              </c:pt>
            </c:numLit>
          </c:xVal>
          <c:yVal>
            <c:numLit>
              <c:formatCode>General</c:formatCode>
              <c:ptCount val="2"/>
              <c:pt idx="0">
                <c:v>7.156519212147776E-3</c:v>
              </c:pt>
              <c:pt idx="1">
                <c:v>0</c:v>
              </c:pt>
            </c:numLit>
          </c:yVal>
          <c:smooth val="0"/>
          <c:extLst>
            <c:ext xmlns:c16="http://schemas.microsoft.com/office/drawing/2014/chart" uri="{C3380CC4-5D6E-409C-BE32-E72D297353CC}">
              <c16:uniqueId val="{000000F4-BD0B-42AB-8104-7FC8BCE42856}"/>
            </c:ext>
          </c:extLst>
        </c:ser>
        <c:ser>
          <c:idx val="191"/>
          <c:order val="191"/>
          <c:tx>
            <c:v>WB=10</c:v>
          </c:tx>
          <c:spPr>
            <a:ln w="3175">
              <a:solidFill>
                <a:srgbClr val="3366FF"/>
              </a:solidFill>
              <a:prstDash val="sysDash"/>
            </a:ln>
          </c:spPr>
          <c:marker>
            <c:symbol val="none"/>
          </c:marker>
          <c:dLbls>
            <c:dLbl>
              <c:idx val="0"/>
              <c:layout>
                <c:manualLayout>
                  <c:x val="-2.7592683727034186E-2"/>
                  <c:y val="-4.273504273504195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F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9.4334500278774112</c:v>
              </c:pt>
              <c:pt idx="1">
                <c:v>28.867789353857855</c:v>
              </c:pt>
            </c:numLit>
          </c:xVal>
          <c:yVal>
            <c:numLit>
              <c:formatCode>General</c:formatCode>
              <c:ptCount val="2"/>
              <c:pt idx="0">
                <c:v>7.6606084940231836E-3</c:v>
              </c:pt>
              <c:pt idx="1">
                <c:v>0</c:v>
              </c:pt>
            </c:numLit>
          </c:yVal>
          <c:smooth val="0"/>
          <c:extLst>
            <c:ext xmlns:c16="http://schemas.microsoft.com/office/drawing/2014/chart" uri="{C3380CC4-5D6E-409C-BE32-E72D297353CC}">
              <c16:uniqueId val="{000000F6-BD0B-42AB-8104-7FC8BCE42856}"/>
            </c:ext>
          </c:extLst>
        </c:ser>
        <c:ser>
          <c:idx val="192"/>
          <c:order val="192"/>
          <c:tx>
            <c:v>WB=11</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F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10.408979273270996</c:v>
              </c:pt>
              <c:pt idx="1">
                <c:v>31.168472308176845</c:v>
              </c:pt>
            </c:numLit>
          </c:xVal>
          <c:yVal>
            <c:numLit>
              <c:formatCode>General</c:formatCode>
              <c:ptCount val="2"/>
              <c:pt idx="0">
                <c:v>8.196399932304619E-3</c:v>
              </c:pt>
              <c:pt idx="1">
                <c:v>0</c:v>
              </c:pt>
            </c:numLit>
          </c:yVal>
          <c:smooth val="0"/>
          <c:extLst>
            <c:ext xmlns:c16="http://schemas.microsoft.com/office/drawing/2014/chart" uri="{C3380CC4-5D6E-409C-BE32-E72D297353CC}">
              <c16:uniqueId val="{000000F8-BD0B-42AB-8104-7FC8BCE42856}"/>
            </c:ext>
          </c:extLst>
        </c:ser>
        <c:ser>
          <c:idx val="193"/>
          <c:order val="193"/>
          <c:tx>
            <c:v>WB=12</c:v>
          </c:tx>
          <c:spPr>
            <a:ln w="3175">
              <a:solidFill>
                <a:srgbClr val="3366FF"/>
              </a:solidFill>
              <a:prstDash val="sysDash"/>
            </a:ln>
          </c:spPr>
          <c:marker>
            <c:symbol val="none"/>
          </c:marker>
          <c:dLbls>
            <c:dLbl>
              <c:idx val="0"/>
              <c:layout>
                <c:manualLayout>
                  <c:x val="-2.7592683727034186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F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11.384149975978485</c:v>
              </c:pt>
              <c:pt idx="1">
                <c:v>33.548547031795728</c:v>
              </c:pt>
            </c:numLit>
          </c:xVal>
          <c:yVal>
            <c:numLit>
              <c:formatCode>General</c:formatCode>
              <c:ptCount val="2"/>
              <c:pt idx="0">
                <c:v>8.7654941166616391E-3</c:v>
              </c:pt>
              <c:pt idx="1">
                <c:v>0</c:v>
              </c:pt>
            </c:numLit>
          </c:yVal>
          <c:smooth val="0"/>
          <c:extLst>
            <c:ext xmlns:c16="http://schemas.microsoft.com/office/drawing/2014/chart" uri="{C3380CC4-5D6E-409C-BE32-E72D297353CC}">
              <c16:uniqueId val="{000000FA-BD0B-42AB-8104-7FC8BCE42856}"/>
            </c:ext>
          </c:extLst>
        </c:ser>
        <c:ser>
          <c:idx val="194"/>
          <c:order val="194"/>
          <c:tx>
            <c:v>WB=13</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F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12.359021518730225</c:v>
              </c:pt>
              <c:pt idx="1">
                <c:v>36.012282393767372</c:v>
              </c:pt>
            </c:numLit>
          </c:xVal>
          <c:yVal>
            <c:numLit>
              <c:formatCode>General</c:formatCode>
              <c:ptCount val="2"/>
              <c:pt idx="0">
                <c:v>9.3697232222812125E-3</c:v>
              </c:pt>
              <c:pt idx="1">
                <c:v>0</c:v>
              </c:pt>
            </c:numLit>
          </c:yVal>
          <c:smooth val="0"/>
          <c:extLst>
            <c:ext xmlns:c16="http://schemas.microsoft.com/office/drawing/2014/chart" uri="{C3380CC4-5D6E-409C-BE32-E72D297353CC}">
              <c16:uniqueId val="{000000FC-BD0B-42AB-8104-7FC8BCE42856}"/>
            </c:ext>
          </c:extLst>
        </c:ser>
        <c:ser>
          <c:idx val="195"/>
          <c:order val="195"/>
          <c:tx>
            <c:v>WB=14</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F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13.333660721764184</c:v>
              </c:pt>
              <c:pt idx="1">
                <c:v>38.564155654290701</c:v>
              </c:pt>
            </c:numLit>
          </c:xVal>
          <c:yVal>
            <c:numLit>
              <c:formatCode>General</c:formatCode>
              <c:ptCount val="2"/>
              <c:pt idx="0">
                <c:v>1.0011011259038697E-2</c:v>
              </c:pt>
              <c:pt idx="1">
                <c:v>0</c:v>
              </c:pt>
            </c:numLit>
          </c:yVal>
          <c:smooth val="0"/>
          <c:extLst>
            <c:ext xmlns:c16="http://schemas.microsoft.com/office/drawing/2014/chart" uri="{C3380CC4-5D6E-409C-BE32-E72D297353CC}">
              <c16:uniqueId val="{000000FE-BD0B-42AB-8104-7FC8BCE42856}"/>
            </c:ext>
          </c:extLst>
        </c:ser>
        <c:ser>
          <c:idx val="196"/>
          <c:order val="196"/>
          <c:tx>
            <c:v>WB=15</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F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14.308142384050468</c:v>
              </c:pt>
              <c:pt idx="1">
                <c:v>41.208863060972398</c:v>
              </c:pt>
            </c:numLit>
          </c:xVal>
          <c:yVal>
            <c:numLit>
              <c:formatCode>General</c:formatCode>
              <c:ptCount val="2"/>
              <c:pt idx="0">
                <c:v>1.0691378827115674E-2</c:v>
              </c:pt>
              <c:pt idx="1">
                <c:v>0</c:v>
              </c:pt>
            </c:numLit>
          </c:yVal>
          <c:smooth val="0"/>
          <c:extLst>
            <c:ext xmlns:c16="http://schemas.microsoft.com/office/drawing/2014/chart" uri="{C3380CC4-5D6E-409C-BE32-E72D297353CC}">
              <c16:uniqueId val="{00000100-BD0B-42AB-8104-7FC8BCE42856}"/>
            </c:ext>
          </c:extLst>
        </c:ser>
        <c:ser>
          <c:idx val="197"/>
          <c:order val="197"/>
          <c:tx>
            <c:v>WB=16</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0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15.28254985732468</c:v>
              </c:pt>
              <c:pt idx="1">
                <c:v>43.951331156248742</c:v>
              </c:pt>
            </c:numLit>
          </c:xVal>
          <c:yVal>
            <c:numLit>
              <c:formatCode>General</c:formatCode>
              <c:ptCount val="2"/>
              <c:pt idx="0">
                <c:v>1.1412948189933141E-2</c:v>
              </c:pt>
              <c:pt idx="1">
                <c:v>0</c:v>
              </c:pt>
            </c:numLit>
          </c:yVal>
          <c:smooth val="0"/>
          <c:extLst>
            <c:ext xmlns:c16="http://schemas.microsoft.com/office/drawing/2014/chart" uri="{C3380CC4-5D6E-409C-BE32-E72D297353CC}">
              <c16:uniqueId val="{00000102-BD0B-42AB-8104-7FC8BCE42856}"/>
            </c:ext>
          </c:extLst>
        </c:ser>
        <c:ser>
          <c:idx val="198"/>
          <c:order val="198"/>
          <c:tx>
            <c:v>WB=17</c:v>
          </c:tx>
          <c:spPr>
            <a:ln w="3175">
              <a:solidFill>
                <a:srgbClr val="3366FF"/>
              </a:solidFill>
              <a:prstDash val="sysDash"/>
            </a:ln>
          </c:spPr>
          <c:marker>
            <c:symbol val="none"/>
          </c:marker>
          <c:dLbls>
            <c:dLbl>
              <c:idx val="0"/>
              <c:layout>
                <c:manualLayout>
                  <c:x val="-2.759268372703412E-2"/>
                  <c:y val="-4.273504273504352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0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16.256975655314989</c:v>
              </c:pt>
              <c:pt idx="1">
                <c:v>46.796728859883913</c:v>
              </c:pt>
            </c:numLit>
          </c:xVal>
          <c:yVal>
            <c:numLit>
              <c:formatCode>General</c:formatCode>
              <c:ptCount val="2"/>
              <c:pt idx="0">
                <c:v>1.2177948692621697E-2</c:v>
              </c:pt>
              <c:pt idx="1">
                <c:v>0</c:v>
              </c:pt>
            </c:numLit>
          </c:yVal>
          <c:smooth val="0"/>
          <c:extLst>
            <c:ext xmlns:c16="http://schemas.microsoft.com/office/drawing/2014/chart" uri="{C3380CC4-5D6E-409C-BE32-E72D297353CC}">
              <c16:uniqueId val="{00000104-BD0B-42AB-8104-7FC8BCE42856}"/>
            </c:ext>
          </c:extLst>
        </c:ser>
        <c:ser>
          <c:idx val="199"/>
          <c:order val="199"/>
          <c:tx>
            <c:v>WB=18</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0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17.231522100796575</c:v>
              </c:pt>
              <c:pt idx="1">
                <c:v>49.750480396907207</c:v>
              </c:pt>
            </c:numLit>
          </c:xVal>
          <c:yVal>
            <c:numLit>
              <c:formatCode>General</c:formatCode>
              <c:ptCount val="2"/>
              <c:pt idx="0">
                <c:v>1.29887225571009E-2</c:v>
              </c:pt>
              <c:pt idx="1">
                <c:v>0</c:v>
              </c:pt>
            </c:numLit>
          </c:yVal>
          <c:smooth val="0"/>
          <c:extLst>
            <c:ext xmlns:c16="http://schemas.microsoft.com/office/drawing/2014/chart" uri="{C3380CC4-5D6E-409C-BE32-E72D297353CC}">
              <c16:uniqueId val="{00000106-BD0B-42AB-8104-7FC8BCE42856}"/>
            </c:ext>
          </c:extLst>
        </c:ser>
        <c:ser>
          <c:idx val="200"/>
          <c:order val="200"/>
          <c:tx>
            <c:v>WB=19</c:v>
          </c:tx>
          <c:spPr>
            <a:ln w="3175">
              <a:solidFill>
                <a:srgbClr val="3366FF"/>
              </a:solidFill>
              <a:prstDash val="sysDash"/>
            </a:ln>
          </c:spPr>
          <c:marker>
            <c:symbol val="none"/>
          </c:marker>
          <c:dLbls>
            <c:dLbl>
              <c:idx val="0"/>
              <c:layout>
                <c:manualLayout>
                  <c:x val="-2.7592683727034186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0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18.206302013385113</c:v>
              </c:pt>
              <c:pt idx="1">
                <c:v>50.000000000000007</c:v>
              </c:pt>
            </c:numLit>
          </c:xVal>
          <c:yVal>
            <c:numLit>
              <c:formatCode>General</c:formatCode>
              <c:ptCount val="2"/>
              <c:pt idx="0">
                <c:v>1.3847731088008679E-2</c:v>
              </c:pt>
              <c:pt idx="1">
                <c:v>1.127551067863415E-3</c:v>
              </c:pt>
            </c:numLit>
          </c:yVal>
          <c:smooth val="0"/>
          <c:extLst>
            <c:ext xmlns:c16="http://schemas.microsoft.com/office/drawing/2014/chart" uri="{C3380CC4-5D6E-409C-BE32-E72D297353CC}">
              <c16:uniqueId val="{00000108-BD0B-42AB-8104-7FC8BCE42856}"/>
            </c:ext>
          </c:extLst>
        </c:ser>
        <c:ser>
          <c:idx val="201"/>
          <c:order val="201"/>
          <c:tx>
            <c:v>WB=20</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0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19.181439441292415</c:v>
              </c:pt>
              <c:pt idx="1">
                <c:v>50</c:v>
              </c:pt>
            </c:numLit>
          </c:xVal>
          <c:yVal>
            <c:numLit>
              <c:formatCode>General</c:formatCode>
              <c:ptCount val="2"/>
              <c:pt idx="0">
                <c:v>1.4757561327237089E-2</c:v>
              </c:pt>
              <c:pt idx="1">
                <c:v>2.4069582383148052E-3</c:v>
              </c:pt>
            </c:numLit>
          </c:yVal>
          <c:smooth val="0"/>
          <c:extLst>
            <c:ext xmlns:c16="http://schemas.microsoft.com/office/drawing/2014/chart" uri="{C3380CC4-5D6E-409C-BE32-E72D297353CC}">
              <c16:uniqueId val="{0000010A-BD0B-42AB-8104-7FC8BCE42856}"/>
            </c:ext>
          </c:extLst>
        </c:ser>
        <c:ser>
          <c:idx val="202"/>
          <c:order val="202"/>
          <c:tx>
            <c:v>WB=21</c:v>
          </c:tx>
          <c:spPr>
            <a:ln w="3175">
              <a:solidFill>
                <a:srgbClr val="3366FF"/>
              </a:solidFill>
              <a:prstDash val="sysDash"/>
            </a:ln>
          </c:spPr>
          <c:marker>
            <c:symbol val="none"/>
          </c:marker>
          <c:dLbls>
            <c:dLbl>
              <c:idx val="0"/>
              <c:layout>
                <c:manualLayout>
                  <c:x val="-2.759268372703412E-2"/>
                  <c:y val="-4.2735042735042739E-3"/>
                </c:manualLayout>
              </c:layout>
              <c:tx>
                <c:rich>
                  <a:bodyPr rot="-372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0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20.157070440616</c:v>
              </c:pt>
              <c:pt idx="1">
                <c:v>50.000000000000007</c:v>
              </c:pt>
            </c:numLit>
          </c:xVal>
          <c:yVal>
            <c:numLit>
              <c:formatCode>General</c:formatCode>
              <c:ptCount val="2"/>
              <c:pt idx="0">
                <c:v>1.5720933198745006E-2</c:v>
              </c:pt>
              <c:pt idx="1">
                <c:v>3.7413398009154331E-3</c:v>
              </c:pt>
            </c:numLit>
          </c:yVal>
          <c:smooth val="0"/>
          <c:extLst>
            <c:ext xmlns:c16="http://schemas.microsoft.com/office/drawing/2014/chart" uri="{C3380CC4-5D6E-409C-BE32-E72D297353CC}">
              <c16:uniqueId val="{0000010C-BD0B-42AB-8104-7FC8BCE42856}"/>
            </c:ext>
          </c:extLst>
        </c:ser>
        <c:ser>
          <c:idx val="203"/>
          <c:order val="203"/>
          <c:tx>
            <c:v>WB=22</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0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21.133343906124985</c:v>
              </c:pt>
              <c:pt idx="1">
                <c:v>50</c:v>
              </c:pt>
            </c:numLit>
          </c:xVal>
          <c:yVal>
            <c:numLit>
              <c:formatCode>General</c:formatCode>
              <c:ptCount val="2"/>
              <c:pt idx="0">
                <c:v>1.6740707189674783E-2</c:v>
              </c:pt>
              <c:pt idx="1">
                <c:v>5.1336233039210857E-3</c:v>
              </c:pt>
            </c:numLit>
          </c:yVal>
          <c:smooth val="0"/>
          <c:extLst>
            <c:ext xmlns:c16="http://schemas.microsoft.com/office/drawing/2014/chart" uri="{C3380CC4-5D6E-409C-BE32-E72D297353CC}">
              <c16:uniqueId val="{0000010E-BD0B-42AB-8104-7FC8BCE42856}"/>
            </c:ext>
          </c:extLst>
        </c:ser>
        <c:ser>
          <c:idx val="204"/>
          <c:order val="204"/>
          <c:tx>
            <c:v>湿球温度座標軸ラベル</c:v>
          </c:tx>
          <c:spPr>
            <a:ln w="3175">
              <a:solidFill>
                <a:srgbClr val="000000"/>
              </a:solidFill>
              <a:prstDash val="solid"/>
            </a:ln>
          </c:spPr>
          <c:marker>
            <c:symbol val="none"/>
          </c:marker>
          <c:dLbls>
            <c:dLbl>
              <c:idx val="0"/>
              <c:layout>
                <c:manualLayout>
                  <c:x val="-7.0025973315835516E-2"/>
                  <c:y val="-7.8346673280123027E-17"/>
                </c:manualLayout>
              </c:layout>
              <c:tx>
                <c:rich>
                  <a:bodyPr rot="17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湿球温度 </a:t>
                    </a:r>
                    <a:r>
                      <a:rPr lang="en-US"/>
                      <a:t>t' [℃]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0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41.627868005036369</c:v>
              </c:pt>
            </c:numLit>
          </c:xVal>
          <c:yVal>
            <c:numLit>
              <c:formatCode>General</c:formatCode>
              <c:ptCount val="1"/>
              <c:pt idx="0">
                <c:v>8.5000000000000006E-3</c:v>
              </c:pt>
            </c:numLit>
          </c:yVal>
          <c:smooth val="0"/>
          <c:extLst>
            <c:ext xmlns:c16="http://schemas.microsoft.com/office/drawing/2014/chart" uri="{C3380CC4-5D6E-409C-BE32-E72D297353CC}">
              <c16:uniqueId val="{00000110-BD0B-42AB-8104-7FC8BCE42856}"/>
            </c:ext>
          </c:extLst>
        </c:ser>
        <c:ser>
          <c:idx val="205"/>
          <c:order val="205"/>
          <c:tx>
            <c:v>WB=23</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1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22.110422457943038</c:v>
              </c:pt>
              <c:pt idx="1">
                <c:v>50.000000000000007</c:v>
              </c:pt>
            </c:numLit>
          </c:xVal>
          <c:yVal>
            <c:numLit>
              <c:formatCode>General</c:formatCode>
              <c:ptCount val="2"/>
              <c:pt idx="0">
                <c:v>1.7819892618663919E-2</c:v>
              </c:pt>
              <c:pt idx="1">
                <c:v>6.5868911047607297E-3</c:v>
              </c:pt>
            </c:numLit>
          </c:yVal>
          <c:smooth val="0"/>
          <c:extLst>
            <c:ext xmlns:c16="http://schemas.microsoft.com/office/drawing/2014/chart" uri="{C3380CC4-5D6E-409C-BE32-E72D297353CC}">
              <c16:uniqueId val="{00000112-BD0B-42AB-8104-7FC8BCE42856}"/>
            </c:ext>
          </c:extLst>
        </c:ser>
        <c:ser>
          <c:idx val="206"/>
          <c:order val="206"/>
          <c:tx>
            <c:v>WB=24</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24</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1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23.088483389020517</c:v>
              </c:pt>
              <c:pt idx="1">
                <c:v>50</c:v>
              </c:pt>
            </c:numLit>
          </c:xVal>
          <c:yVal>
            <c:numLit>
              <c:formatCode>General</c:formatCode>
              <c:ptCount val="2"/>
              <c:pt idx="0">
                <c:v>1.8961656547670749E-2</c:v>
              </c:pt>
              <c:pt idx="1">
                <c:v>8.1043897142882119E-3</c:v>
              </c:pt>
            </c:numLit>
          </c:yVal>
          <c:smooth val="0"/>
          <c:extLst>
            <c:ext xmlns:c16="http://schemas.microsoft.com/office/drawing/2014/chart" uri="{C3380CC4-5D6E-409C-BE32-E72D297353CC}">
              <c16:uniqueId val="{00000114-BD0B-42AB-8104-7FC8BCE42856}"/>
            </c:ext>
          </c:extLst>
        </c:ser>
        <c:ser>
          <c:idx val="207"/>
          <c:order val="207"/>
          <c:tx>
            <c:v>WB=25</c:v>
          </c:tx>
          <c:spPr>
            <a:ln w="3175">
              <a:solidFill>
                <a:srgbClr val="3366FF"/>
              </a:solidFill>
              <a:prstDash val="sysDash"/>
            </a:ln>
          </c:spPr>
          <c:marker>
            <c:symbol val="none"/>
          </c:marker>
          <c:dLbls>
            <c:dLbl>
              <c:idx val="0"/>
              <c:layout>
                <c:manualLayout>
                  <c:x val="-2.7678258967629047E-2"/>
                  <c:y val="-4.273504273504352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25</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1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24.067719678840426</c:v>
              </c:pt>
              <c:pt idx="1">
                <c:v>50</c:v>
              </c:pt>
            </c:numLit>
          </c:xVal>
          <c:yVal>
            <c:numLit>
              <c:formatCode>General</c:formatCode>
              <c:ptCount val="2"/>
              <c:pt idx="0">
                <c:v>2.0169333399710391E-2</c:v>
              </c:pt>
              <c:pt idx="1">
                <c:v>9.6895398780736056E-3</c:v>
              </c:pt>
            </c:numLit>
          </c:yVal>
          <c:smooth val="0"/>
          <c:extLst>
            <c:ext xmlns:c16="http://schemas.microsoft.com/office/drawing/2014/chart" uri="{C3380CC4-5D6E-409C-BE32-E72D297353CC}">
              <c16:uniqueId val="{00000116-BD0B-42AB-8104-7FC8BCE42856}"/>
            </c:ext>
          </c:extLst>
        </c:ser>
        <c:ser>
          <c:idx val="208"/>
          <c:order val="208"/>
          <c:tx>
            <c:v>WB=26</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26</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17-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25.048321472690553</c:v>
              </c:pt>
              <c:pt idx="1">
                <c:v>50.000000000000007</c:v>
              </c:pt>
            </c:numLit>
          </c:xVal>
          <c:yVal>
            <c:numLit>
              <c:formatCode>General</c:formatCode>
              <c:ptCount val="2"/>
              <c:pt idx="0">
                <c:v>2.1446877205943158E-2</c:v>
              </c:pt>
              <c:pt idx="1">
                <c:v>1.1346381384148981E-2</c:v>
              </c:pt>
            </c:numLit>
          </c:yVal>
          <c:smooth val="0"/>
          <c:extLst>
            <c:ext xmlns:c16="http://schemas.microsoft.com/office/drawing/2014/chart" uri="{C3380CC4-5D6E-409C-BE32-E72D297353CC}">
              <c16:uniqueId val="{00000118-BD0B-42AB-8104-7FC8BCE42856}"/>
            </c:ext>
          </c:extLst>
        </c:ser>
        <c:ser>
          <c:idx val="209"/>
          <c:order val="209"/>
          <c:tx>
            <c:v>WB=27</c:v>
          </c:tx>
          <c:spPr>
            <a:ln w="3175">
              <a:solidFill>
                <a:srgbClr val="3366FF"/>
              </a:solidFill>
              <a:prstDash val="sysDash"/>
            </a:ln>
          </c:spPr>
          <c:marker>
            <c:symbol val="none"/>
          </c:marker>
          <c:dLbls>
            <c:dLbl>
              <c:idx val="0"/>
              <c:layout>
                <c:manualLayout>
                  <c:x val="-2.767825896762911E-2"/>
                  <c:y val="-4.27350427350431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27</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1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26.030535251824297</c:v>
              </c:pt>
              <c:pt idx="1">
                <c:v>50</c:v>
              </c:pt>
            </c:numLit>
          </c:xVal>
          <c:yVal>
            <c:numLit>
              <c:formatCode>General</c:formatCode>
              <c:ptCount val="2"/>
              <c:pt idx="0">
                <c:v>2.2797604877624097E-2</c:v>
              </c:pt>
              <c:pt idx="1">
                <c:v>1.3078340322813551E-2</c:v>
              </c:pt>
            </c:numLit>
          </c:yVal>
          <c:smooth val="0"/>
          <c:extLst>
            <c:ext xmlns:c16="http://schemas.microsoft.com/office/drawing/2014/chart" uri="{C3380CC4-5D6E-409C-BE32-E72D297353CC}">
              <c16:uniqueId val="{0000011A-BD0B-42AB-8104-7FC8BCE42856}"/>
            </c:ext>
          </c:extLst>
        </c:ser>
        <c:ser>
          <c:idx val="210"/>
          <c:order val="210"/>
          <c:tx>
            <c:v>WB=28</c:v>
          </c:tx>
          <c:spPr>
            <a:ln w="3175">
              <a:solidFill>
                <a:srgbClr val="3366FF"/>
              </a:solidFill>
              <a:prstDash val="sysDash"/>
            </a:ln>
          </c:spPr>
          <c:marker>
            <c:symbol val="none"/>
          </c:marker>
          <c:dLbls>
            <c:dLbl>
              <c:idx val="0"/>
              <c:layout>
                <c:manualLayout>
                  <c:x val="-2.767825896762911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28</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1B-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27.01460799871953</c:v>
              </c:pt>
              <c:pt idx="1">
                <c:v>50.000000000000007</c:v>
              </c:pt>
            </c:numLit>
          </c:xVal>
          <c:yVal>
            <c:numLit>
              <c:formatCode>General</c:formatCode>
              <c:ptCount val="2"/>
              <c:pt idx="0">
                <c:v>2.4225424078400493E-2</c:v>
              </c:pt>
              <c:pt idx="1">
                <c:v>1.4889434478430795E-2</c:v>
              </c:pt>
            </c:numLit>
          </c:yVal>
          <c:smooth val="0"/>
          <c:extLst>
            <c:ext xmlns:c16="http://schemas.microsoft.com/office/drawing/2014/chart" uri="{C3380CC4-5D6E-409C-BE32-E72D297353CC}">
              <c16:uniqueId val="{0000011C-BD0B-42AB-8104-7FC8BCE42856}"/>
            </c:ext>
          </c:extLst>
        </c:ser>
        <c:ser>
          <c:idx val="211"/>
          <c:order val="211"/>
          <c:tx>
            <c:v>WB=29</c:v>
          </c:tx>
          <c:spPr>
            <a:ln w="3175">
              <a:solidFill>
                <a:srgbClr val="3366FF"/>
              </a:solidFill>
              <a:prstDash val="sysDash"/>
            </a:ln>
          </c:spPr>
          <c:marker>
            <c:symbol val="none"/>
          </c:marker>
          <c:dLbls>
            <c:dLbl>
              <c:idx val="0"/>
              <c:layout>
                <c:manualLayout>
                  <c:x val="-2.7678258967629047E-2"/>
                  <c:y val="-4.27350427350431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29</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1D-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28.000807254075735</c:v>
              </c:pt>
              <c:pt idx="1">
                <c:v>50.000000000000007</c:v>
              </c:pt>
            </c:numLit>
          </c:xVal>
          <c:yVal>
            <c:numLit>
              <c:formatCode>General</c:formatCode>
              <c:ptCount val="2"/>
              <c:pt idx="0">
                <c:v>2.5734457306702815E-2</c:v>
              </c:pt>
              <c:pt idx="1">
                <c:v>1.6783905580143949E-2</c:v>
              </c:pt>
            </c:numLit>
          </c:yVal>
          <c:smooth val="0"/>
          <c:extLst>
            <c:ext xmlns:c16="http://schemas.microsoft.com/office/drawing/2014/chart" uri="{C3380CC4-5D6E-409C-BE32-E72D297353CC}">
              <c16:uniqueId val="{0000011E-BD0B-42AB-8104-7FC8BCE42856}"/>
            </c:ext>
          </c:extLst>
        </c:ser>
        <c:ser>
          <c:idx val="212"/>
          <c:order val="212"/>
          <c:tx>
            <c:v>WB=30</c:v>
          </c:tx>
          <c:spPr>
            <a:ln w="3175">
              <a:solidFill>
                <a:srgbClr val="3366FF"/>
              </a:solidFill>
              <a:prstDash val="sysDash"/>
            </a:ln>
          </c:spPr>
          <c:marker>
            <c:symbol val="none"/>
          </c:marker>
          <c:dLbls>
            <c:dLbl>
              <c:idx val="0"/>
              <c:layout>
                <c:manualLayout>
                  <c:x val="-2.7678258967629172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1F-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28.989422570672435</c:v>
              </c:pt>
              <c:pt idx="1">
                <c:v>50.000000000000007</c:v>
              </c:pt>
            </c:numLit>
          </c:xVal>
          <c:yVal>
            <c:numLit>
              <c:formatCode>General</c:formatCode>
              <c:ptCount val="2"/>
              <c:pt idx="0">
                <c:v>2.73290562877294E-2</c:v>
              </c:pt>
              <c:pt idx="1">
                <c:v>1.876623436362267E-2</c:v>
              </c:pt>
            </c:numLit>
          </c:yVal>
          <c:smooth val="0"/>
          <c:extLst>
            <c:ext xmlns:c16="http://schemas.microsoft.com/office/drawing/2014/chart" uri="{C3380CC4-5D6E-409C-BE32-E72D297353CC}">
              <c16:uniqueId val="{00000120-BD0B-42AB-8104-7FC8BCE42856}"/>
            </c:ext>
          </c:extLst>
        </c:ser>
        <c:ser>
          <c:idx val="213"/>
          <c:order val="213"/>
          <c:tx>
            <c:v>WB=31</c:v>
          </c:tx>
          <c:spPr>
            <a:ln w="3175">
              <a:solidFill>
                <a:srgbClr val="3366FF"/>
              </a:solidFill>
              <a:prstDash val="sysDash"/>
            </a:ln>
          </c:spPr>
          <c:marker>
            <c:symbol val="none"/>
          </c:marker>
          <c:dLbls>
            <c:dLbl>
              <c:idx val="0"/>
              <c:layout>
                <c:manualLayout>
                  <c:x val="-2.7678258967629047E-2"/>
                  <c:y val="-4.27350427350429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31</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21-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29.980767082589693</c:v>
              </c:pt>
              <c:pt idx="1">
                <c:v>50.000000000000007</c:v>
              </c:pt>
            </c:numLit>
          </c:xVal>
          <c:yVal>
            <c:numLit>
              <c:formatCode>General</c:formatCode>
              <c:ptCount val="2"/>
              <c:pt idx="0">
                <c:v>2.9013817626337573E-2</c:v>
              </c:pt>
              <c:pt idx="1">
                <c:v>2.0841156947637916E-2</c:v>
              </c:pt>
            </c:numLit>
          </c:yVal>
          <c:smooth val="0"/>
          <c:extLst>
            <c:ext xmlns:c16="http://schemas.microsoft.com/office/drawing/2014/chart" uri="{C3380CC4-5D6E-409C-BE32-E72D297353CC}">
              <c16:uniqueId val="{00000122-BD0B-42AB-8104-7FC8BCE42856}"/>
            </c:ext>
          </c:extLst>
        </c:ser>
        <c:ser>
          <c:idx val="214"/>
          <c:order val="214"/>
          <c:tx>
            <c:v>WB=32</c:v>
          </c:tx>
          <c:spPr>
            <a:ln w="3175">
              <a:solidFill>
                <a:srgbClr val="3366FF"/>
              </a:solidFill>
              <a:prstDash val="sysDash"/>
            </a:ln>
          </c:spPr>
          <c:marker>
            <c:symbol val="none"/>
          </c:marker>
          <c:dLbls>
            <c:dLbl>
              <c:idx val="0"/>
              <c:layout>
                <c:manualLayout>
                  <c:x val="-2.7678258967629172E-2"/>
                  <c:y val="-4.273504273504293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32</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23-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30.975179201690683</c:v>
              </c:pt>
              <c:pt idx="1">
                <c:v>50</c:v>
              </c:pt>
            </c:numLit>
          </c:xVal>
          <c:yVal>
            <c:numLit>
              <c:formatCode>General</c:formatCode>
              <c:ptCount val="2"/>
              <c:pt idx="0">
                <c:v>3.0793599853619184E-2</c:v>
              </c:pt>
              <c:pt idx="1">
                <c:v>2.3013682663751679E-2</c:v>
              </c:pt>
            </c:numLit>
          </c:yVal>
          <c:smooth val="0"/>
          <c:extLst>
            <c:ext xmlns:c16="http://schemas.microsoft.com/office/drawing/2014/chart" uri="{C3380CC4-5D6E-409C-BE32-E72D297353CC}">
              <c16:uniqueId val="{00000124-BD0B-42AB-8104-7FC8BCE42856}"/>
            </c:ext>
          </c:extLst>
        </c:ser>
        <c:ser>
          <c:idx val="215"/>
          <c:order val="215"/>
          <c:tx>
            <c:v>WB=33</c:v>
          </c:tx>
          <c:spPr>
            <a:ln w="3175">
              <a:solidFill>
                <a:srgbClr val="3366FF"/>
              </a:solidFill>
              <a:prstDash val="sysDash"/>
            </a:ln>
          </c:spPr>
          <c:marker>
            <c:symbol val="none"/>
          </c:marker>
          <c:dLbls>
            <c:dLbl>
              <c:idx val="0"/>
              <c:layout>
                <c:manualLayout>
                  <c:x val="-2.7678258967629047E-2"/>
                  <c:y val="-4.2735042735042739E-3"/>
                </c:manualLayout>
              </c:layout>
              <c:tx>
                <c:rich>
                  <a:bodyPr rot="-366000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33</a:t>
                    </a:r>
                    <a:endParaRPr lang="en-US" altLang="ja-JP"/>
                  </a:p>
                </c:rich>
              </c:tx>
              <c:spPr>
                <a:solidFill>
                  <a:scrgbClr r="0" g="0" b="0">
                    <a:alpha val="0"/>
                  </a:scrgbClr>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25-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31.97302445473133</c:v>
              </c:pt>
              <c:pt idx="1">
                <c:v>50.000000000000007</c:v>
              </c:pt>
            </c:numLit>
          </c:xVal>
          <c:yVal>
            <c:numLit>
              <c:formatCode>General</c:formatCode>
              <c:ptCount val="2"/>
              <c:pt idx="0">
                <c:v>3.2673542015821677E-2</c:v>
              </c:pt>
              <c:pt idx="1">
                <c:v>2.5289113493966509E-2</c:v>
              </c:pt>
            </c:numLit>
          </c:yVal>
          <c:smooth val="0"/>
          <c:extLst>
            <c:ext xmlns:c16="http://schemas.microsoft.com/office/drawing/2014/chart" uri="{C3380CC4-5D6E-409C-BE32-E72D297353CC}">
              <c16:uniqueId val="{00000126-BD0B-42AB-8104-7FC8BCE42856}"/>
            </c:ext>
          </c:extLst>
        </c:ser>
        <c:ser>
          <c:idx val="216"/>
          <c:order val="216"/>
          <c:tx>
            <c:v>WB=34</c:v>
          </c:tx>
          <c:spPr>
            <a:ln w="3175">
              <a:solidFill>
                <a:srgbClr val="3366FF"/>
              </a:solidFill>
              <a:prstDash val="sysDash"/>
            </a:ln>
          </c:spPr>
          <c:marker>
            <c:symbol val="none"/>
          </c:marker>
          <c:xVal>
            <c:numLit>
              <c:formatCode>General</c:formatCode>
              <c:ptCount val="2"/>
              <c:pt idx="0">
                <c:v>32.974697476126913</c:v>
              </c:pt>
              <c:pt idx="1">
                <c:v>50</c:v>
              </c:pt>
            </c:numLit>
          </c:xVal>
          <c:yVal>
            <c:numLit>
              <c:formatCode>General</c:formatCode>
              <c:ptCount val="2"/>
              <c:pt idx="0">
                <c:v>3.4659083972322924E-2</c:v>
              </c:pt>
              <c:pt idx="1">
                <c:v>2.7673065289994456E-2</c:v>
              </c:pt>
            </c:numLit>
          </c:yVal>
          <c:smooth val="0"/>
          <c:extLst>
            <c:ext xmlns:c16="http://schemas.microsoft.com/office/drawing/2014/chart" uri="{C3380CC4-5D6E-409C-BE32-E72D297353CC}">
              <c16:uniqueId val="{00000127-BD0B-42AB-8104-7FC8BCE42856}"/>
            </c:ext>
          </c:extLst>
        </c:ser>
        <c:ser>
          <c:idx val="217"/>
          <c:order val="217"/>
          <c:tx>
            <c:v>WB=</c:v>
          </c:tx>
          <c:spPr>
            <a:ln w="3175">
              <a:solidFill>
                <a:srgbClr val="3366FF"/>
              </a:solidFill>
              <a:prstDash val="sysDash"/>
            </a:ln>
          </c:spPr>
          <c:marker>
            <c:symbol val="none"/>
          </c:marker>
          <c:xVal>
            <c:numLit>
              <c:formatCode>General</c:formatCode>
              <c:ptCount val="2"/>
              <c:pt idx="0">
                <c:v>-0.34054167287274817</c:v>
              </c:pt>
              <c:pt idx="1">
                <c:v>9.4387305875737741</c:v>
              </c:pt>
            </c:numLit>
          </c:xVal>
          <c:yVal>
            <c:numLit>
              <c:formatCode>General</c:formatCode>
              <c:ptCount val="2"/>
              <c:pt idx="0">
                <c:v>3.7926394193890894E-3</c:v>
              </c:pt>
              <c:pt idx="1">
                <c:v>0</c:v>
              </c:pt>
            </c:numLit>
          </c:yVal>
          <c:smooth val="0"/>
          <c:extLst>
            <c:ext xmlns:c16="http://schemas.microsoft.com/office/drawing/2014/chart" uri="{C3380CC4-5D6E-409C-BE32-E72D297353CC}">
              <c16:uniqueId val="{00000128-BD0B-42AB-8104-7FC8BCE42856}"/>
            </c:ext>
          </c:extLst>
        </c:ser>
        <c:ser>
          <c:idx val="218"/>
          <c:order val="218"/>
          <c:tx>
            <c:v>３重点（水）</c:v>
          </c:tx>
          <c:spPr>
            <a:ln w="3175">
              <a:solidFill>
                <a:srgbClr val="000000"/>
              </a:solidFill>
              <a:prstDash val="solid"/>
            </a:ln>
          </c:spPr>
          <c:marker>
            <c:symbol val="none"/>
          </c:marker>
          <c:dLbls>
            <c:dLbl>
              <c:idx val="0"/>
              <c:layout>
                <c:manualLayout>
                  <c:x val="-5.8654445538057771E-2"/>
                  <c:y val="0"/>
                </c:manualLayout>
              </c:layout>
              <c:tx>
                <c:rich>
                  <a:bodyPr rot="1680000" vertOverflow="overflow" horzOverflow="overflow" vert="horz" wrap="none" lIns="0" tIns="0" rIns="0" bIns="0" anchor="ctr">
                    <a:spAutoFit/>
                  </a:bodyPr>
                  <a:lstStyle/>
                  <a:p>
                    <a:pPr algn="ctr">
                      <a:defRPr altLang="ja-JP" sz="500" b="0" i="1">
                        <a:solidFill>
                          <a:srgbClr val="000000"/>
                        </a:solidFill>
                        <a:latin typeface="ＭＳ Ｐ明朝"/>
                        <a:ea typeface="ＭＳ Ｐ明朝"/>
                        <a:cs typeface="ＭＳ Ｐ明朝"/>
                      </a:defRPr>
                    </a:pPr>
                    <a:r>
                      <a:rPr lang="en-US" altLang="ja-JP"/>
                      <a:t>0.01[℃](</a:t>
                    </a:r>
                    <a:r>
                      <a:rPr lang="ja-JP" altLang="en-US"/>
                      <a:t>水</a:t>
                    </a:r>
                    <a:r>
                      <a:rPr lang="en-US" altLang="ja-JP"/>
                      <a:t>)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129-BD0B-42AB-8104-7FC8BCE428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8.4073357008938547</c:v>
              </c:pt>
            </c:numLit>
          </c:xVal>
          <c:yVal>
            <c:numLit>
              <c:formatCode>General</c:formatCode>
              <c:ptCount val="1"/>
              <c:pt idx="0">
                <c:v>4.0000000000000002E-4</c:v>
              </c:pt>
            </c:numLit>
          </c:yVal>
          <c:smooth val="0"/>
          <c:extLst>
            <c:ext xmlns:c16="http://schemas.microsoft.com/office/drawing/2014/chart" uri="{C3380CC4-5D6E-409C-BE32-E72D297353CC}">
              <c16:uniqueId val="{0000012A-BD0B-42AB-8104-7FC8BCE42856}"/>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0D5B-4C62-B15F-F0F86E881C47}"/>
            </c:ext>
          </c:extLst>
        </c:ser>
        <c:ser>
          <c:idx val="1"/>
          <c:order val="1"/>
          <c:spPr>
            <a:ln w="3175">
              <a:solidFill>
                <a:srgbClr val="000000"/>
              </a:solidFill>
              <a:prstDash val="solid"/>
            </a:ln>
          </c:spPr>
          <c:marker>
            <c:symbol val="none"/>
          </c:marker>
          <c:xVal>
            <c:numLit>
              <c:formatCode>General</c:formatCode>
              <c:ptCount val="2"/>
              <c:pt idx="0">
                <c:v>-3.758</c:v>
              </c:pt>
              <c:pt idx="1">
                <c:v>-4.3579999999999997</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01-0D5B-4C62-B15F-F0F86E881C47}"/>
            </c:ext>
          </c:extLst>
        </c:ser>
        <c:ser>
          <c:idx val="2"/>
          <c:order val="2"/>
          <c:spPr>
            <a:ln w="3175">
              <a:solidFill>
                <a:srgbClr val="000000"/>
              </a:solidFill>
              <a:prstDash val="solid"/>
            </a:ln>
          </c:spPr>
          <c:marker>
            <c:symbol val="none"/>
          </c:marker>
          <c:dLbls>
            <c:dLbl>
              <c:idx val="0"/>
              <c:tx>
                <c:rich>
                  <a:bodyPr rot="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5B-4C62-B15F-F0F86E881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-5.1180000000000012</c:v>
              </c:pt>
            </c:numLit>
          </c:xVal>
          <c:yVal>
            <c:numLit>
              <c:formatCode>General</c:formatCode>
              <c:ptCount val="1"/>
              <c:pt idx="0">
                <c:v>2.0930000000000001E-2</c:v>
              </c:pt>
            </c:numLit>
          </c:yVal>
          <c:smooth val="0"/>
          <c:extLst>
            <c:ext xmlns:c16="http://schemas.microsoft.com/office/drawing/2014/chart" uri="{C3380CC4-5D6E-409C-BE32-E72D297353CC}">
              <c16:uniqueId val="{00000003-0D5B-4C62-B15F-F0F86E881C47}"/>
            </c:ext>
          </c:extLst>
        </c:ser>
        <c:ser>
          <c:idx val="3"/>
          <c:order val="3"/>
          <c:spPr>
            <a:ln w="3175">
              <a:solidFill>
                <a:srgbClr val="000000"/>
              </a:solidFill>
              <a:prstDash val="solid"/>
            </a:ln>
          </c:spPr>
          <c:marker>
            <c:symbol val="none"/>
          </c:marker>
          <c:xVal>
            <c:numLit>
              <c:formatCode>General</c:formatCode>
              <c:ptCount val="2"/>
              <c:pt idx="0">
                <c:v>-3.7573164307647193</c:v>
              </c:pt>
              <c:pt idx="1">
                <c:v>-4.0572985496633294</c:v>
              </c:pt>
            </c:numLit>
          </c:xVal>
          <c:yVal>
            <c:numLit>
              <c:formatCode>General</c:formatCode>
              <c:ptCount val="2"/>
              <c:pt idx="0">
                <c:v>2.0838150344721491E-2</c:v>
              </c:pt>
              <c:pt idx="1">
                <c:v>2.0835727619644421E-2</c:v>
              </c:pt>
            </c:numLit>
          </c:yVal>
          <c:smooth val="0"/>
          <c:extLst>
            <c:ext xmlns:c16="http://schemas.microsoft.com/office/drawing/2014/chart" uri="{C3380CC4-5D6E-409C-BE32-E72D297353CC}">
              <c16:uniqueId val="{00000004-0D5B-4C62-B15F-F0F86E881C47}"/>
            </c:ext>
          </c:extLst>
        </c:ser>
        <c:ser>
          <c:idx val="4"/>
          <c:order val="4"/>
          <c:spPr>
            <a:ln w="3175">
              <a:solidFill>
                <a:srgbClr val="000000"/>
              </a:solidFill>
              <a:prstDash val="solid"/>
            </a:ln>
          </c:spPr>
          <c:marker>
            <c:symbol val="none"/>
          </c:marker>
          <c:xVal>
            <c:numLit>
              <c:formatCode>General</c:formatCode>
              <c:ptCount val="2"/>
              <c:pt idx="0">
                <c:v>-3.7551514284703731</c:v>
              </c:pt>
              <c:pt idx="1">
                <c:v>-4.0550769139387679</c:v>
              </c:pt>
            </c:numLit>
          </c:xVal>
          <c:yVal>
            <c:numLit>
              <c:formatCode>General</c:formatCode>
              <c:ptCount val="2"/>
              <c:pt idx="0">
                <c:v>2.0742509615122581E-2</c:v>
              </c:pt>
              <c:pt idx="1">
                <c:v>2.0737564151791284E-2</c:v>
              </c:pt>
            </c:numLit>
          </c:yVal>
          <c:smooth val="0"/>
          <c:extLst>
            <c:ext xmlns:c16="http://schemas.microsoft.com/office/drawing/2014/chart" uri="{C3380CC4-5D6E-409C-BE32-E72D297353CC}">
              <c16:uniqueId val="{00000005-0D5B-4C62-B15F-F0F86E881C47}"/>
            </c:ext>
          </c:extLst>
        </c:ser>
        <c:ser>
          <c:idx val="5"/>
          <c:order val="5"/>
          <c:spPr>
            <a:ln w="3175">
              <a:solidFill>
                <a:srgbClr val="000000"/>
              </a:solidFill>
              <a:prstDash val="solid"/>
            </a:ln>
          </c:spPr>
          <c:marker>
            <c:symbol val="none"/>
          </c:marker>
          <c:xVal>
            <c:numLit>
              <c:formatCode>General</c:formatCode>
              <c:ptCount val="2"/>
              <c:pt idx="0">
                <c:v>-3.7513184851597101</c:v>
              </c:pt>
              <c:pt idx="1">
                <c:v>-4.0511437048590233</c:v>
              </c:pt>
            </c:numLit>
          </c:xVal>
          <c:yVal>
            <c:numLit>
              <c:formatCode>General</c:formatCode>
              <c:ptCount val="2"/>
              <c:pt idx="0">
                <c:v>2.0642878308754005E-2</c:v>
              </c:pt>
              <c:pt idx="1">
                <c:v>2.0635304812162952E-2</c:v>
              </c:pt>
            </c:numLit>
          </c:yVal>
          <c:smooth val="0"/>
          <c:extLst>
            <c:ext xmlns:c16="http://schemas.microsoft.com/office/drawing/2014/chart" uri="{C3380CC4-5D6E-409C-BE32-E72D297353CC}">
              <c16:uniqueId val="{00000006-0D5B-4C62-B15F-F0F86E881C47}"/>
            </c:ext>
          </c:extLst>
        </c:ser>
        <c:ser>
          <c:idx val="6"/>
          <c:order val="6"/>
          <c:spPr>
            <a:ln w="3175">
              <a:solidFill>
                <a:srgbClr val="000000"/>
              </a:solidFill>
              <a:prstDash val="solid"/>
            </a:ln>
          </c:spPr>
          <c:marker>
            <c:symbol val="none"/>
          </c:marker>
          <c:xVal>
            <c:numLit>
              <c:formatCode>General</c:formatCode>
              <c:ptCount val="2"/>
              <c:pt idx="0">
                <c:v>-3.7456091126033786</c:v>
              </c:pt>
              <c:pt idx="1">
                <c:v>-4.0452849779513329</c:v>
              </c:pt>
            </c:numLit>
          </c:xVal>
          <c:yVal>
            <c:numLit>
              <c:formatCode>General</c:formatCode>
              <c:ptCount val="2"/>
              <c:pt idx="0">
                <c:v>2.0539046809061261E-2</c:v>
              </c:pt>
              <c:pt idx="1">
                <c:v>2.0528734430821465E-2</c:v>
              </c:pt>
            </c:numLit>
          </c:yVal>
          <c:smooth val="0"/>
          <c:extLst>
            <c:ext xmlns:c16="http://schemas.microsoft.com/office/drawing/2014/chart" uri="{C3380CC4-5D6E-409C-BE32-E72D297353CC}">
              <c16:uniqueId val="{00000007-0D5B-4C62-B15F-F0F86E881C47}"/>
            </c:ext>
          </c:extLst>
        </c:ser>
        <c:ser>
          <c:idx val="7"/>
          <c:order val="7"/>
          <c:spPr>
            <a:ln w="3175">
              <a:solidFill>
                <a:srgbClr val="000000"/>
              </a:solidFill>
              <a:prstDash val="solid"/>
            </a:ln>
          </c:spPr>
          <c:marker>
            <c:symbol val="none"/>
          </c:marker>
          <c:xVal>
            <c:numLit>
              <c:formatCode>General</c:formatCode>
              <c:ptCount val="2"/>
              <c:pt idx="0">
                <c:v>-3.7377902586290985</c:v>
              </c:pt>
              <c:pt idx="1">
                <c:v>-4.3367333533434707</c:v>
              </c:pt>
            </c:numLit>
          </c:xVal>
          <c:yVal>
            <c:numLit>
              <c:formatCode>General</c:formatCode>
              <c:ptCount val="2"/>
              <c:pt idx="0">
                <c:v>2.0430795350641542E-2</c:v>
              </c:pt>
              <c:pt idx="1">
                <c:v>2.0404465069727713E-2</c:v>
              </c:pt>
            </c:numLit>
          </c:yVal>
          <c:smooth val="0"/>
          <c:extLst>
            <c:ext xmlns:c16="http://schemas.microsoft.com/office/drawing/2014/chart" uri="{C3380CC4-5D6E-409C-BE32-E72D297353CC}">
              <c16:uniqueId val="{00000008-0D5B-4C62-B15F-F0F86E881C47}"/>
            </c:ext>
          </c:extLst>
        </c:ser>
        <c:ser>
          <c:idx val="8"/>
          <c:order val="8"/>
          <c:spPr>
            <a:ln w="3175">
              <a:solidFill>
                <a:srgbClr val="000000"/>
              </a:solidFill>
              <a:prstDash val="solid"/>
            </a:ln>
          </c:spPr>
          <c:marker>
            <c:symbol val="none"/>
          </c:marker>
          <c:dLbls>
            <c:dLbl>
              <c:idx val="0"/>
              <c:tx>
                <c:rich>
                  <a:bodyPr rot="-1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5B-4C62-B15F-F0F86E881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-5.0953971933505686</c:v>
              </c:pt>
            </c:numLit>
          </c:xVal>
          <c:yVal>
            <c:numLit>
              <c:formatCode>General</c:formatCode>
              <c:ptCount val="1"/>
              <c:pt idx="0">
                <c:v>2.037114545104227E-2</c:v>
              </c:pt>
            </c:numLit>
          </c:yVal>
          <c:smooth val="0"/>
          <c:extLst>
            <c:ext xmlns:c16="http://schemas.microsoft.com/office/drawing/2014/chart" uri="{C3380CC4-5D6E-409C-BE32-E72D297353CC}">
              <c16:uniqueId val="{0000000A-0D5B-4C62-B15F-F0F86E881C47}"/>
            </c:ext>
          </c:extLst>
        </c:ser>
        <c:ser>
          <c:idx val="9"/>
          <c:order val="9"/>
          <c:spPr>
            <a:ln w="3175">
              <a:solidFill>
                <a:srgbClr val="000000"/>
              </a:solidFill>
              <a:prstDash val="solid"/>
            </a:ln>
          </c:spPr>
          <c:marker>
            <c:symbol val="none"/>
          </c:marker>
          <c:xVal>
            <c:numLit>
              <c:formatCode>General</c:formatCode>
              <c:ptCount val="2"/>
              <c:pt idx="0">
                <c:v>-3.7276014439375182</c:v>
              </c:pt>
              <c:pt idx="1">
                <c:v>-4.0268062128221214</c:v>
              </c:pt>
            </c:numLit>
          </c:xVal>
          <c:yVal>
            <c:numLit>
              <c:formatCode>General</c:formatCode>
              <c:ptCount val="2"/>
              <c:pt idx="0">
                <c:v>2.0317894135552732E-2</c:v>
              </c:pt>
              <c:pt idx="1">
                <c:v>2.0301747870289474E-2</c:v>
              </c:pt>
            </c:numLit>
          </c:yVal>
          <c:smooth val="0"/>
          <c:extLst>
            <c:ext xmlns:c16="http://schemas.microsoft.com/office/drawing/2014/chart" uri="{C3380CC4-5D6E-409C-BE32-E72D297353CC}">
              <c16:uniqueId val="{0000000B-0D5B-4C62-B15F-F0F86E881C47}"/>
            </c:ext>
          </c:extLst>
        </c:ser>
        <c:ser>
          <c:idx val="10"/>
          <c:order val="10"/>
          <c:spPr>
            <a:ln w="3175">
              <a:solidFill>
                <a:srgbClr val="000000"/>
              </a:solidFill>
              <a:prstDash val="solid"/>
            </a:ln>
          </c:spPr>
          <c:marker>
            <c:symbol val="none"/>
          </c:marker>
          <c:xVal>
            <c:numLit>
              <c:formatCode>General</c:formatCode>
              <c:ptCount val="2"/>
              <c:pt idx="0">
                <c:v>-3.7147516008544463</c:v>
              </c:pt>
              <c:pt idx="1">
                <c:v>-4.0136201835408292</c:v>
              </c:pt>
            </c:numLit>
          </c:xVal>
          <c:yVal>
            <c:numLit>
              <c:formatCode>General</c:formatCode>
              <c:ptCount val="2"/>
              <c:pt idx="0">
                <c:v>2.0200103644625281E-2</c:v>
              </c:pt>
              <c:pt idx="1">
                <c:v>2.0180849913089945E-2</c:v>
              </c:pt>
            </c:numLit>
          </c:yVal>
          <c:smooth val="0"/>
          <c:extLst>
            <c:ext xmlns:c16="http://schemas.microsoft.com/office/drawing/2014/chart" uri="{C3380CC4-5D6E-409C-BE32-E72D297353CC}">
              <c16:uniqueId val="{0000000C-0D5B-4C62-B15F-F0F86E881C47}"/>
            </c:ext>
          </c:extLst>
        </c:ser>
        <c:ser>
          <c:idx val="11"/>
          <c:order val="11"/>
          <c:spPr>
            <a:ln w="3175">
              <a:solidFill>
                <a:srgbClr val="000000"/>
              </a:solidFill>
              <a:prstDash val="solid"/>
            </a:ln>
          </c:spPr>
          <c:marker>
            <c:symbol val="none"/>
          </c:marker>
          <c:xVal>
            <c:numLit>
              <c:formatCode>General</c:formatCode>
              <c:ptCount val="2"/>
              <c:pt idx="0">
                <c:v>-3.6989155989247418</c:v>
              </c:pt>
              <c:pt idx="1">
                <c:v>-3.9973698432209668</c:v>
              </c:pt>
            </c:numLit>
          </c:xVal>
          <c:yVal>
            <c:numLit>
              <c:formatCode>General</c:formatCode>
              <c:ptCount val="2"/>
              <c:pt idx="0">
                <c:v>2.0077175197246788E-2</c:v>
              </c:pt>
              <c:pt idx="1">
                <c:v>2.0054678249479638E-2</c:v>
              </c:pt>
            </c:numLit>
          </c:yVal>
          <c:smooth val="0"/>
          <c:extLst>
            <c:ext xmlns:c16="http://schemas.microsoft.com/office/drawing/2014/chart" uri="{C3380CC4-5D6E-409C-BE32-E72D297353CC}">
              <c16:uniqueId val="{0000000D-0D5B-4C62-B15F-F0F86E881C47}"/>
            </c:ext>
          </c:extLst>
        </c:ser>
        <c:ser>
          <c:idx val="12"/>
          <c:order val="12"/>
          <c:spPr>
            <a:ln w="3175">
              <a:solidFill>
                <a:srgbClr val="000000"/>
              </a:solidFill>
              <a:prstDash val="solid"/>
            </a:ln>
          </c:spPr>
          <c:marker>
            <c:symbol val="none"/>
          </c:marker>
          <c:xVal>
            <c:numLit>
              <c:formatCode>General</c:formatCode>
              <c:ptCount val="2"/>
              <c:pt idx="0">
                <c:v>-3.6797304479524238</c:v>
              </c:pt>
              <c:pt idx="1">
                <c:v>-3.9776826867646431</c:v>
              </c:pt>
            </c:numLit>
          </c:xVal>
          <c:yVal>
            <c:numLit>
              <c:formatCode>General</c:formatCode>
              <c:ptCount val="2"/>
              <c:pt idx="0">
                <c:v>1.9948851824198272E-2</c:v>
              </c:pt>
              <c:pt idx="1">
                <c:v>1.9922969066463295E-2</c:v>
              </c:pt>
            </c:numLit>
          </c:yVal>
          <c:smooth val="0"/>
          <c:extLst>
            <c:ext xmlns:c16="http://schemas.microsoft.com/office/drawing/2014/chart" uri="{C3380CC4-5D6E-409C-BE32-E72D297353CC}">
              <c16:uniqueId val="{0000000E-0D5B-4C62-B15F-F0F86E881C47}"/>
            </c:ext>
          </c:extLst>
        </c:ser>
        <c:ser>
          <c:idx val="13"/>
          <c:order val="13"/>
          <c:spPr>
            <a:ln w="3175">
              <a:solidFill>
                <a:srgbClr val="000000"/>
              </a:solidFill>
              <a:prstDash val="solid"/>
            </a:ln>
          </c:spPr>
          <c:marker>
            <c:symbol val="none"/>
          </c:marker>
          <c:xVal>
            <c:numLit>
              <c:formatCode>General</c:formatCode>
              <c:ptCount val="2"/>
              <c:pt idx="0">
                <c:v>-3.6567911778075404</c:v>
              </c:pt>
              <c:pt idx="1">
                <c:v>-4.2514973042485202</c:v>
              </c:pt>
            </c:numLit>
          </c:xVal>
          <c:yVal>
            <c:numLit>
              <c:formatCode>General</c:formatCode>
              <c:ptCount val="2"/>
              <c:pt idx="0">
                <c:v>1.9814869530917118E-2</c:v>
              </c:pt>
              <c:pt idx="1">
                <c:v>1.9756045431995016E-2</c:v>
              </c:pt>
            </c:numLit>
          </c:yVal>
          <c:smooth val="0"/>
          <c:extLst>
            <c:ext xmlns:c16="http://schemas.microsoft.com/office/drawing/2014/chart" uri="{C3380CC4-5D6E-409C-BE32-E72D297353CC}">
              <c16:uniqueId val="{0000000F-0D5B-4C62-B15F-F0F86E881C47}"/>
            </c:ext>
          </c:extLst>
        </c:ser>
        <c:ser>
          <c:idx val="14"/>
          <c:order val="14"/>
          <c:spPr>
            <a:ln w="3175">
              <a:solidFill>
                <a:srgbClr val="000000"/>
              </a:solidFill>
              <a:prstDash val="solid"/>
            </a:ln>
          </c:spPr>
          <c:marker>
            <c:symbol val="none"/>
          </c:marker>
          <c:dLbls>
            <c:dLbl>
              <c:idx val="0"/>
              <c:tx>
                <c:rich>
                  <a:bodyPr rot="-4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5B-4C62-B15F-F0F86E881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-5.0048045482834356</c:v>
              </c:pt>
            </c:numLit>
          </c:xVal>
          <c:yVal>
            <c:numLit>
              <c:formatCode>General</c:formatCode>
              <c:ptCount val="1"/>
              <c:pt idx="0">
                <c:v>1.9681605533496679E-2</c:v>
              </c:pt>
            </c:numLit>
          </c:yVal>
          <c:smooth val="0"/>
          <c:extLst>
            <c:ext xmlns:c16="http://schemas.microsoft.com/office/drawing/2014/chart" uri="{C3380CC4-5D6E-409C-BE32-E72D297353CC}">
              <c16:uniqueId val="{00000011-0D5B-4C62-B15F-F0F86E881C47}"/>
            </c:ext>
          </c:extLst>
        </c:ser>
        <c:ser>
          <c:idx val="15"/>
          <c:order val="15"/>
          <c:spPr>
            <a:ln w="3175">
              <a:solidFill>
                <a:srgbClr val="000000"/>
              </a:solidFill>
              <a:prstDash val="solid"/>
            </a:ln>
          </c:spPr>
          <c:marker>
            <c:symbol val="none"/>
          </c:marker>
          <c:xVal>
            <c:numLit>
              <c:formatCode>General</c:formatCode>
              <c:ptCount val="2"/>
              <c:pt idx="0">
                <c:v>-3.6296464070240311</c:v>
              </c:pt>
              <c:pt idx="1">
                <c:v>-3.9262879289068784</c:v>
              </c:pt>
            </c:numLit>
          </c:xVal>
          <c:yVal>
            <c:numLit>
              <c:formatCode>General</c:formatCode>
              <c:ptCount val="2"/>
              <c:pt idx="0">
                <c:v>1.9674959043059544E-2</c:v>
              </c:pt>
              <c:pt idx="1">
                <c:v>1.9641848560224669E-2</c:v>
              </c:pt>
            </c:numLit>
          </c:yVal>
          <c:smooth val="0"/>
          <c:extLst>
            <c:ext xmlns:c16="http://schemas.microsoft.com/office/drawing/2014/chart" uri="{C3380CC4-5D6E-409C-BE32-E72D297353CC}">
              <c16:uniqueId val="{00000012-0D5B-4C62-B15F-F0F86E881C47}"/>
            </c:ext>
          </c:extLst>
        </c:ser>
        <c:ser>
          <c:idx val="16"/>
          <c:order val="16"/>
          <c:spPr>
            <a:ln w="3175">
              <a:solidFill>
                <a:srgbClr val="000000"/>
              </a:solidFill>
              <a:prstDash val="solid"/>
            </a:ln>
          </c:spPr>
          <c:marker>
            <c:symbol val="none"/>
          </c:marker>
          <c:xVal>
            <c:numLit>
              <c:formatCode>General</c:formatCode>
              <c:ptCount val="2"/>
              <c:pt idx="0">
                <c:v>-3.5977936301001021</c:v>
              </c:pt>
              <c:pt idx="1">
                <c:v>-3.8936014035493267</c:v>
              </c:pt>
            </c:numLit>
          </c:xVal>
          <c:yVal>
            <c:numLit>
              <c:formatCode>General</c:formatCode>
              <c:ptCount val="2"/>
              <c:pt idx="0">
                <c:v>1.9528848142313003E-2</c:v>
              </c:pt>
              <c:pt idx="1">
                <c:v>1.9491881254637813E-2</c:v>
              </c:pt>
            </c:numLit>
          </c:yVal>
          <c:smooth val="0"/>
          <c:extLst>
            <c:ext xmlns:c16="http://schemas.microsoft.com/office/drawing/2014/chart" uri="{C3380CC4-5D6E-409C-BE32-E72D297353CC}">
              <c16:uniqueId val="{00000013-0D5B-4C62-B15F-F0F86E881C47}"/>
            </c:ext>
          </c:extLst>
        </c:ser>
        <c:ser>
          <c:idx val="17"/>
          <c:order val="17"/>
          <c:spPr>
            <a:ln w="3175">
              <a:solidFill>
                <a:srgbClr val="000000"/>
              </a:solidFill>
              <a:prstDash val="solid"/>
            </a:ln>
          </c:spPr>
          <c:marker>
            <c:symbol val="none"/>
          </c:marker>
          <c:xVal>
            <c:numLit>
              <c:formatCode>General</c:formatCode>
              <c:ptCount val="2"/>
              <c:pt idx="0">
                <c:v>-3.5606742779232401</c:v>
              </c:pt>
              <c:pt idx="1">
                <c:v>-3.8555103033006843</c:v>
              </c:pt>
            </c:numLit>
          </c:xVal>
          <c:yVal>
            <c:numLit>
              <c:formatCode>General</c:formatCode>
              <c:ptCount val="2"/>
              <c:pt idx="0">
                <c:v>1.9376264717732728E-2</c:v>
              </c:pt>
              <c:pt idx="1">
                <c:v>1.9335269988825475E-2</c:v>
              </c:pt>
            </c:numLit>
          </c:yVal>
          <c:smooth val="0"/>
          <c:extLst>
            <c:ext xmlns:c16="http://schemas.microsoft.com/office/drawing/2014/chart" uri="{C3380CC4-5D6E-409C-BE32-E72D297353CC}">
              <c16:uniqueId val="{00000014-0D5B-4C62-B15F-F0F86E881C47}"/>
            </c:ext>
          </c:extLst>
        </c:ser>
        <c:ser>
          <c:idx val="18"/>
          <c:order val="18"/>
          <c:spPr>
            <a:ln w="3175">
              <a:solidFill>
                <a:srgbClr val="000000"/>
              </a:solidFill>
              <a:prstDash val="solid"/>
            </a:ln>
          </c:spPr>
          <c:marker>
            <c:symbol val="none"/>
          </c:marker>
          <c:xVal>
            <c:numLit>
              <c:formatCode>General</c:formatCode>
              <c:ptCount val="2"/>
              <c:pt idx="0">
                <c:v>-3.517668638557927</c:v>
              </c:pt>
              <c:pt idx="1">
                <c:v>-3.8113786218780392</c:v>
              </c:pt>
            </c:numLit>
          </c:xVal>
          <c:yVal>
            <c:numLit>
              <c:formatCode>General</c:formatCode>
              <c:ptCount val="2"/>
              <c:pt idx="0">
                <c:v>1.921694067579767E-2</c:v>
              </c:pt>
              <c:pt idx="1">
                <c:v>1.917173944071374E-2</c:v>
              </c:pt>
            </c:numLit>
          </c:yVal>
          <c:smooth val="0"/>
          <c:extLst>
            <c:ext xmlns:c16="http://schemas.microsoft.com/office/drawing/2014/chart" uri="{C3380CC4-5D6E-409C-BE32-E72D297353CC}">
              <c16:uniqueId val="{00000015-0D5B-4C62-B15F-F0F86E881C47}"/>
            </c:ext>
          </c:extLst>
        </c:ser>
        <c:ser>
          <c:idx val="19"/>
          <c:order val="19"/>
          <c:spPr>
            <a:ln w="3175">
              <a:solidFill>
                <a:srgbClr val="000000"/>
              </a:solidFill>
              <a:prstDash val="solid"/>
            </a:ln>
          </c:spPr>
          <c:marker>
            <c:symbol val="none"/>
          </c:marker>
          <c:xVal>
            <c:numLit>
              <c:formatCode>General</c:formatCode>
              <c:ptCount val="2"/>
              <c:pt idx="0">
                <c:v>-3.4680907686435161</c:v>
              </c:pt>
              <c:pt idx="1">
                <c:v>-4.0529202023993429</c:v>
              </c:pt>
            </c:numLit>
          </c:xVal>
          <c:yVal>
            <c:numLit>
              <c:formatCode>General</c:formatCode>
              <c:ptCount val="2"/>
              <c:pt idx="0">
                <c:v>1.905061686979987E-2</c:v>
              </c:pt>
              <c:pt idx="1">
                <c:v>1.8951450076302702E-2</c:v>
              </c:pt>
            </c:numLit>
          </c:yVal>
          <c:smooth val="0"/>
          <c:extLst>
            <c:ext xmlns:c16="http://schemas.microsoft.com/office/drawing/2014/chart" uri="{C3380CC4-5D6E-409C-BE32-E72D297353CC}">
              <c16:uniqueId val="{00000016-0D5B-4C62-B15F-F0F86E881C47}"/>
            </c:ext>
          </c:extLst>
        </c:ser>
        <c:ser>
          <c:idx val="20"/>
          <c:order val="20"/>
          <c:spPr>
            <a:ln w="3175">
              <a:solidFill>
                <a:srgbClr val="000000"/>
              </a:solidFill>
              <a:prstDash val="solid"/>
            </a:ln>
          </c:spPr>
          <c:marker>
            <c:symbol val="none"/>
          </c:marker>
          <c:dLbls>
            <c:dLbl>
              <c:idx val="0"/>
              <c:tx>
                <c:rich>
                  <a:bodyPr rot="-7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D5B-4C62-B15F-F0F86E881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-4.7937399600325126</c:v>
              </c:pt>
            </c:numLit>
          </c:xVal>
          <c:yVal>
            <c:numLit>
              <c:formatCode>General</c:formatCode>
              <c:ptCount val="1"/>
              <c:pt idx="0">
                <c:v>1.8825953904367372E-2</c:v>
              </c:pt>
            </c:numLit>
          </c:yVal>
          <c:smooth val="0"/>
          <c:extLst>
            <c:ext xmlns:c16="http://schemas.microsoft.com/office/drawing/2014/chart" uri="{C3380CC4-5D6E-409C-BE32-E72D297353CC}">
              <c16:uniqueId val="{00000018-0D5B-4C62-B15F-F0F86E881C47}"/>
            </c:ext>
          </c:extLst>
        </c:ser>
        <c:ser>
          <c:idx val="21"/>
          <c:order val="21"/>
          <c:spPr>
            <a:ln w="3175">
              <a:solidFill>
                <a:srgbClr val="000000"/>
              </a:solidFill>
              <a:prstDash val="solid"/>
            </a:ln>
          </c:spPr>
          <c:marker>
            <c:symbol val="none"/>
          </c:marker>
          <c:xVal>
            <c:numLit>
              <c:formatCode>General</c:formatCode>
              <c:ptCount val="2"/>
              <c:pt idx="0">
                <c:v>-3.4406035633560976</c:v>
              </c:pt>
              <c:pt idx="1">
                <c:v>-3.7322951803470819</c:v>
              </c:pt>
            </c:numLit>
          </c:xVal>
          <c:yVal>
            <c:numLit>
              <c:formatCode>General</c:formatCode>
              <c:ptCount val="2"/>
              <c:pt idx="0">
                <c:v>1.8964752998040003E-2</c:v>
              </c:pt>
              <c:pt idx="1">
                <c:v>1.891289174648661E-2</c:v>
              </c:pt>
            </c:numLit>
          </c:yVal>
          <c:smooth val="0"/>
          <c:extLst>
            <c:ext xmlns:c16="http://schemas.microsoft.com/office/drawing/2014/chart" uri="{C3380CC4-5D6E-409C-BE32-E72D297353CC}">
              <c16:uniqueId val="{00000019-0D5B-4C62-B15F-F0F86E881C47}"/>
            </c:ext>
          </c:extLst>
        </c:ser>
        <c:ser>
          <c:idx val="22"/>
          <c:order val="22"/>
          <c:spPr>
            <a:ln w="3175">
              <a:solidFill>
                <a:srgbClr val="000000"/>
              </a:solidFill>
              <a:prstDash val="solid"/>
            </a:ln>
          </c:spPr>
          <c:marker>
            <c:symbol val="none"/>
          </c:marker>
          <c:xVal>
            <c:numLit>
              <c:formatCode>General</c:formatCode>
              <c:ptCount val="2"/>
              <c:pt idx="0">
                <c:v>-3.4111835808515791</c:v>
              </c:pt>
              <c:pt idx="1">
                <c:v>-3.7021044990194212</c:v>
              </c:pt>
            </c:numLit>
          </c:xVal>
          <c:yVal>
            <c:numLit>
              <c:formatCode>General</c:formatCode>
              <c:ptCount val="2"/>
              <c:pt idx="0">
                <c:v>1.8877049224379265E-2</c:v>
              </c:pt>
              <c:pt idx="1">
                <c:v>1.8822871269990157E-2</c:v>
              </c:pt>
            </c:numLit>
          </c:yVal>
          <c:smooth val="0"/>
          <c:extLst>
            <c:ext xmlns:c16="http://schemas.microsoft.com/office/drawing/2014/chart" uri="{C3380CC4-5D6E-409C-BE32-E72D297353CC}">
              <c16:uniqueId val="{0000001A-0D5B-4C62-B15F-F0F86E881C47}"/>
            </c:ext>
          </c:extLst>
        </c:ser>
        <c:ser>
          <c:idx val="23"/>
          <c:order val="23"/>
          <c:spPr>
            <a:ln w="3175">
              <a:solidFill>
                <a:srgbClr val="000000"/>
              </a:solidFill>
              <a:prstDash val="solid"/>
            </a:ln>
          </c:spPr>
          <c:marker>
            <c:symbol val="none"/>
          </c:marker>
          <c:xVal>
            <c:numLit>
              <c:formatCode>General</c:formatCode>
              <c:ptCount val="2"/>
              <c:pt idx="0">
                <c:v>-3.3797243325935047</c:v>
              </c:pt>
              <c:pt idx="1">
                <c:v>-3.6698210225191046</c:v>
              </c:pt>
            </c:numLit>
          </c:xVal>
          <c:yVal>
            <c:numLit>
              <c:formatCode>General</c:formatCode>
              <c:ptCount val="2"/>
              <c:pt idx="0">
                <c:v>1.8787478625185268E-2</c:v>
              </c:pt>
              <c:pt idx="1">
                <c:v>1.8730934348336725E-2</c:v>
              </c:pt>
            </c:numLit>
          </c:yVal>
          <c:smooth val="0"/>
          <c:extLst>
            <c:ext xmlns:c16="http://schemas.microsoft.com/office/drawing/2014/chart" uri="{C3380CC4-5D6E-409C-BE32-E72D297353CC}">
              <c16:uniqueId val="{0000001B-0D5B-4C62-B15F-F0F86E881C47}"/>
            </c:ext>
          </c:extLst>
        </c:ser>
        <c:ser>
          <c:idx val="24"/>
          <c:order val="24"/>
          <c:spPr>
            <a:ln w="3175">
              <a:solidFill>
                <a:srgbClr val="000000"/>
              </a:solidFill>
              <a:prstDash val="solid"/>
            </a:ln>
          </c:spPr>
          <c:marker>
            <c:symbol val="none"/>
          </c:marker>
          <c:xVal>
            <c:numLit>
              <c:formatCode>General</c:formatCode>
              <c:ptCount val="2"/>
              <c:pt idx="0">
                <c:v>-3.3461143621710736</c:v>
              </c:pt>
              <c:pt idx="1">
                <c:v>-3.6353303523381379</c:v>
              </c:pt>
            </c:numLit>
          </c:xVal>
          <c:yVal>
            <c:numLit>
              <c:formatCode>General</c:formatCode>
              <c:ptCount val="2"/>
              <c:pt idx="0">
                <c:v>1.8696016241449256E-2</c:v>
              </c:pt>
              <c:pt idx="1">
                <c:v>1.8637055329613312E-2</c:v>
              </c:pt>
            </c:numLit>
          </c:yVal>
          <c:smooth val="0"/>
          <c:extLst>
            <c:ext xmlns:c16="http://schemas.microsoft.com/office/drawing/2014/chart" uri="{C3380CC4-5D6E-409C-BE32-E72D297353CC}">
              <c16:uniqueId val="{0000001C-0D5B-4C62-B15F-F0F86E881C47}"/>
            </c:ext>
          </c:extLst>
        </c:ser>
        <c:ser>
          <c:idx val="25"/>
          <c:order val="25"/>
          <c:spPr>
            <a:ln w="3175">
              <a:solidFill>
                <a:srgbClr val="000000"/>
              </a:solidFill>
              <a:prstDash val="solid"/>
            </a:ln>
          </c:spPr>
          <c:marker>
            <c:symbol val="none"/>
          </c:marker>
          <c:xVal>
            <c:numLit>
              <c:formatCode>General</c:formatCode>
              <c:ptCount val="2"/>
              <c:pt idx="0">
                <c:v>-3.3102371536754234</c:v>
              </c:pt>
              <c:pt idx="1">
                <c:v>-3.8867980751786924</c:v>
              </c:pt>
            </c:numLit>
          </c:xVal>
          <c:yVal>
            <c:numLit>
              <c:formatCode>General</c:formatCode>
              <c:ptCount val="2"/>
              <c:pt idx="0">
                <c:v>1.8602639402078635E-2</c:v>
              </c:pt>
              <c:pt idx="1">
                <c:v>1.8479806553120048E-2</c:v>
              </c:pt>
            </c:numLit>
          </c:yVal>
          <c:smooth val="0"/>
          <c:extLst>
            <c:ext xmlns:c16="http://schemas.microsoft.com/office/drawing/2014/chart" uri="{C3380CC4-5D6E-409C-BE32-E72D297353CC}">
              <c16:uniqueId val="{0000001D-0D5B-4C62-B15F-F0F86E881C47}"/>
            </c:ext>
          </c:extLst>
        </c:ser>
        <c:ser>
          <c:idx val="26"/>
          <c:order val="26"/>
          <c:spPr>
            <a:ln w="3175">
              <a:solidFill>
                <a:srgbClr val="000000"/>
              </a:solidFill>
              <a:prstDash val="solid"/>
            </a:ln>
          </c:spPr>
          <c:marker>
            <c:symbol val="none"/>
          </c:marker>
          <c:xVal>
            <c:numLit>
              <c:formatCode>General</c:formatCode>
              <c:ptCount val="2"/>
              <c:pt idx="0">
                <c:v>-3.2719710627580656</c:v>
              </c:pt>
              <c:pt idx="1">
                <c:v>-3.5592437900382992</c:v>
              </c:pt>
            </c:numLit>
          </c:xVal>
          <c:yVal>
            <c:numLit>
              <c:formatCode>General</c:formatCode>
              <c:ptCount val="2"/>
              <c:pt idx="0">
                <c:v>1.85073280758347E-2</c:v>
              </c:pt>
              <c:pt idx="1">
                <c:v>1.8443380483584921E-2</c:v>
              </c:pt>
            </c:numLit>
          </c:yVal>
          <c:smooth val="0"/>
          <c:extLst>
            <c:ext xmlns:c16="http://schemas.microsoft.com/office/drawing/2014/chart" uri="{C3380CC4-5D6E-409C-BE32-E72D297353CC}">
              <c16:uniqueId val="{0000001E-0D5B-4C62-B15F-F0F86E881C47}"/>
            </c:ext>
          </c:extLst>
        </c:ser>
        <c:ser>
          <c:idx val="27"/>
          <c:order val="27"/>
          <c:spPr>
            <a:ln w="3175">
              <a:solidFill>
                <a:srgbClr val="000000"/>
              </a:solidFill>
              <a:prstDash val="solid"/>
            </a:ln>
          </c:spPr>
          <c:marker>
            <c:symbol val="none"/>
          </c:marker>
          <c:xVal>
            <c:numLit>
              <c:formatCode>General</c:formatCode>
              <c:ptCount val="2"/>
              <c:pt idx="0">
                <c:v>-3.2311892749519693</c:v>
              </c:pt>
              <c:pt idx="1">
                <c:v>-3.5173928687057834</c:v>
              </c:pt>
            </c:numLit>
          </c:xVal>
          <c:yVal>
            <c:numLit>
              <c:formatCode>General</c:formatCode>
              <c:ptCount val="2"/>
              <c:pt idx="0">
                <c:v>1.8410065253019303E-2</c:v>
              </c:pt>
              <c:pt idx="1">
                <c:v>1.8343546556689797E-2</c:v>
              </c:pt>
            </c:numLit>
          </c:yVal>
          <c:smooth val="0"/>
          <c:extLst>
            <c:ext xmlns:c16="http://schemas.microsoft.com/office/drawing/2014/chart" uri="{C3380CC4-5D6E-409C-BE32-E72D297353CC}">
              <c16:uniqueId val="{0000001F-0D5B-4C62-B15F-F0F86E881C47}"/>
            </c:ext>
          </c:extLst>
        </c:ser>
        <c:ser>
          <c:idx val="28"/>
          <c:order val="28"/>
          <c:spPr>
            <a:ln w="3175">
              <a:solidFill>
                <a:srgbClr val="000000"/>
              </a:solidFill>
              <a:prstDash val="solid"/>
            </a:ln>
          </c:spPr>
          <c:marker>
            <c:symbol val="none"/>
          </c:marker>
          <c:xVal>
            <c:numLit>
              <c:formatCode>General</c:formatCode>
              <c:ptCount val="2"/>
              <c:pt idx="0">
                <c:v>-3.1877597963437578</c:v>
              </c:pt>
              <c:pt idx="1">
                <c:v>-3.4728246421453663</c:v>
              </c:pt>
            </c:numLit>
          </c:xVal>
          <c:yVal>
            <c:numLit>
              <c:formatCode>General</c:formatCode>
              <c:ptCount val="2"/>
              <c:pt idx="0">
                <c:v>1.8310837357796605E-2</c:v>
              </c:pt>
              <c:pt idx="1">
                <c:v>1.8241695148370509E-2</c:v>
              </c:pt>
            </c:numLit>
          </c:yVal>
          <c:smooth val="0"/>
          <c:extLst>
            <c:ext xmlns:c16="http://schemas.microsoft.com/office/drawing/2014/chart" uri="{C3380CC4-5D6E-409C-BE32-E72D297353CC}">
              <c16:uniqueId val="{00000020-0D5B-4C62-B15F-F0F86E881C47}"/>
            </c:ext>
          </c:extLst>
        </c:ser>
        <c:ser>
          <c:idx val="29"/>
          <c:order val="29"/>
          <c:spPr>
            <a:ln w="3175">
              <a:solidFill>
                <a:srgbClr val="000000"/>
              </a:solidFill>
              <a:prstDash val="solid"/>
            </a:ln>
          </c:spPr>
          <c:marker>
            <c:symbol val="none"/>
          </c:marker>
          <c:xVal>
            <c:numLit>
              <c:formatCode>General</c:formatCode>
              <c:ptCount val="2"/>
              <c:pt idx="0">
                <c:v>-3.1415454822086812</c:v>
              </c:pt>
              <c:pt idx="1">
                <c:v>-3.4253983312720453</c:v>
              </c:pt>
            </c:numLit>
          </c:xVal>
          <c:yVal>
            <c:numLit>
              <c:formatCode>General</c:formatCode>
              <c:ptCount val="2"/>
              <c:pt idx="0">
                <c:v>1.820963469175254E-2</c:v>
              </c:pt>
              <c:pt idx="1">
                <c:v>1.8137816256964326E-2</c:v>
              </c:pt>
            </c:numLit>
          </c:yVal>
          <c:smooth val="0"/>
          <c:extLst>
            <c:ext xmlns:c16="http://schemas.microsoft.com/office/drawing/2014/chart" uri="{C3380CC4-5D6E-409C-BE32-E72D297353CC}">
              <c16:uniqueId val="{00000021-0D5B-4C62-B15F-F0F86E881C47}"/>
            </c:ext>
          </c:extLst>
        </c:ser>
        <c:ser>
          <c:idx val="30"/>
          <c:order val="30"/>
          <c:spPr>
            <a:ln w="3175">
              <a:solidFill>
                <a:srgbClr val="000000"/>
              </a:solidFill>
              <a:prstDash val="solid"/>
            </a:ln>
          </c:spPr>
          <c:marker>
            <c:symbol val="none"/>
          </c:marker>
          <c:xVal>
            <c:numLit>
              <c:formatCode>General</c:formatCode>
              <c:ptCount val="2"/>
              <c:pt idx="0">
                <c:v>-3.0924041097491268</c:v>
              </c:pt>
              <c:pt idx="1">
                <c:v>-3.6575453920736818</c:v>
              </c:pt>
            </c:numLit>
          </c:xVal>
          <c:yVal>
            <c:numLit>
              <c:formatCode>General</c:formatCode>
              <c:ptCount val="2"/>
              <c:pt idx="0">
                <c:v>1.8106451908935582E-2</c:v>
              </c:pt>
              <c:pt idx="1">
                <c:v>1.7957384915551974E-2</c:v>
              </c:pt>
            </c:numLit>
          </c:yVal>
          <c:smooth val="0"/>
          <c:extLst>
            <c:ext xmlns:c16="http://schemas.microsoft.com/office/drawing/2014/chart" uri="{C3380CC4-5D6E-409C-BE32-E72D297353CC}">
              <c16:uniqueId val="{00000022-0D5B-4C62-B15F-F0F86E881C47}"/>
            </c:ext>
          </c:extLst>
        </c:ser>
        <c:ser>
          <c:idx val="31"/>
          <c:order val="31"/>
          <c:spPr>
            <a:ln w="3175">
              <a:solidFill>
                <a:srgbClr val="000000"/>
              </a:solidFill>
              <a:prstDash val="solid"/>
            </a:ln>
          </c:spPr>
          <c:marker>
            <c:symbol val="none"/>
          </c:marker>
          <c:dLbls>
            <c:dLbl>
              <c:idx val="0"/>
              <c:tx>
                <c:rich>
                  <a:bodyPr rot="-12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D5B-4C62-B15F-F0F86E881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-4.3734691487420454</c:v>
              </c:pt>
            </c:numLit>
          </c:xVal>
          <c:yVal>
            <c:numLit>
              <c:formatCode>General</c:formatCode>
              <c:ptCount val="1"/>
              <c:pt idx="0">
                <c:v>1.7768728173225303E-2</c:v>
              </c:pt>
            </c:numLit>
          </c:yVal>
          <c:smooth val="0"/>
          <c:extLst>
            <c:ext xmlns:c16="http://schemas.microsoft.com/office/drawing/2014/chart" uri="{C3380CC4-5D6E-409C-BE32-E72D297353CC}">
              <c16:uniqueId val="{00000024-0D5B-4C62-B15F-F0F86E881C47}"/>
            </c:ext>
          </c:extLst>
        </c:ser>
        <c:ser>
          <c:idx val="32"/>
          <c:order val="32"/>
          <c:spPr>
            <a:ln w="3175">
              <a:solidFill>
                <a:srgbClr val="000000"/>
              </a:solidFill>
              <a:prstDash val="solid"/>
            </a:ln>
          </c:spPr>
          <c:marker>
            <c:symbol val="none"/>
          </c:marker>
          <c:xVal>
            <c:numLit>
              <c:formatCode>General</c:formatCode>
              <c:ptCount val="2"/>
              <c:pt idx="0">
                <c:v>-3.0401885016002286</c:v>
              </c:pt>
              <c:pt idx="1">
                <c:v>-3.3213823853739761</c:v>
              </c:pt>
            </c:numLit>
          </c:xVal>
          <c:yVal>
            <c:numLit>
              <c:formatCode>General</c:formatCode>
              <c:ptCount val="2"/>
              <c:pt idx="0">
                <c:v>1.8001288522178398E-2</c:v>
              </c:pt>
              <c:pt idx="1">
                <c:v>1.79239588608462E-2</c:v>
              </c:pt>
            </c:numLit>
          </c:yVal>
          <c:smooth val="0"/>
          <c:extLst>
            <c:ext xmlns:c16="http://schemas.microsoft.com/office/drawing/2014/chart" uri="{C3380CC4-5D6E-409C-BE32-E72D297353CC}">
              <c16:uniqueId val="{00000025-0D5B-4C62-B15F-F0F86E881C47}"/>
            </c:ext>
          </c:extLst>
        </c:ser>
        <c:ser>
          <c:idx val="33"/>
          <c:order val="33"/>
          <c:spPr>
            <a:ln w="3175">
              <a:solidFill>
                <a:srgbClr val="000000"/>
              </a:solidFill>
              <a:prstDash val="solid"/>
            </a:ln>
          </c:spPr>
          <c:marker>
            <c:symbol val="none"/>
          </c:marker>
          <c:xVal>
            <c:numLit>
              <c:formatCode>General</c:formatCode>
              <c:ptCount val="2"/>
              <c:pt idx="0">
                <c:v>-2.9847467072668263</c:v>
              </c:pt>
              <c:pt idx="1">
                <c:v>-3.2644856755106595</c:v>
              </c:pt>
            </c:numLit>
          </c:xVal>
          <c:yVal>
            <c:numLit>
              <c:formatCode>General</c:formatCode>
              <c:ptCount val="2"/>
              <c:pt idx="0">
                <c:v>1.7894149439960622E-2</c:v>
              </c:pt>
              <c:pt idx="1">
                <c:v>1.7813984785902574E-2</c:v>
              </c:pt>
            </c:numLit>
          </c:yVal>
          <c:smooth val="0"/>
          <c:extLst>
            <c:ext xmlns:c16="http://schemas.microsoft.com/office/drawing/2014/chart" uri="{C3380CC4-5D6E-409C-BE32-E72D297353CC}">
              <c16:uniqueId val="{00000026-0D5B-4C62-B15F-F0F86E881C47}"/>
            </c:ext>
          </c:extLst>
        </c:ser>
        <c:ser>
          <c:idx val="34"/>
          <c:order val="34"/>
          <c:spPr>
            <a:ln w="3175">
              <a:solidFill>
                <a:srgbClr val="000000"/>
              </a:solidFill>
              <a:prstDash val="solid"/>
            </a:ln>
          </c:spPr>
          <c:marker>
            <c:symbol val="none"/>
          </c:marker>
          <c:xVal>
            <c:numLit>
              <c:formatCode>General</c:formatCode>
              <c:ptCount val="2"/>
              <c:pt idx="0">
                <c:v>-2.9259222501155961</c:v>
              </c:pt>
              <c:pt idx="1">
                <c:v>-3.2041171702836717</c:v>
              </c:pt>
            </c:numLit>
          </c:xVal>
          <c:yVal>
            <c:numLit>
              <c:formatCode>General</c:formatCode>
              <c:ptCount val="2"/>
              <c:pt idx="0">
                <c:v>1.7785045532430037E-2</c:v>
              </c:pt>
              <c:pt idx="1">
                <c:v>1.7701993219551154E-2</c:v>
              </c:pt>
            </c:numLit>
          </c:yVal>
          <c:smooth val="0"/>
          <c:extLst>
            <c:ext xmlns:c16="http://schemas.microsoft.com/office/drawing/2014/chart" uri="{C3380CC4-5D6E-409C-BE32-E72D297353CC}">
              <c16:uniqueId val="{00000027-0D5B-4C62-B15F-F0F86E881C47}"/>
            </c:ext>
          </c:extLst>
        </c:ser>
        <c:ser>
          <c:idx val="35"/>
          <c:order val="35"/>
          <c:spPr>
            <a:ln w="3175">
              <a:solidFill>
                <a:srgbClr val="000000"/>
              </a:solidFill>
              <a:prstDash val="solid"/>
            </a:ln>
          </c:spPr>
          <c:marker>
            <c:symbol val="none"/>
          </c:marker>
          <c:xVal>
            <c:numLit>
              <c:formatCode>General</c:formatCode>
              <c:ptCount val="2"/>
              <c:pt idx="0">
                <c:v>-2.8635544479409476</c:v>
              </c:pt>
              <c:pt idx="1">
                <c:v>-3.1401119058801523</c:v>
              </c:pt>
            </c:numLit>
          </c:xVal>
          <c:yVal>
            <c:numLit>
              <c:formatCode>General</c:formatCode>
              <c:ptCount val="2"/>
              <c:pt idx="0">
                <c:v>1.7673994224443108E-2</c:v>
              </c:pt>
              <c:pt idx="1">
                <c:v>1.7588001986049255E-2</c:v>
              </c:pt>
            </c:numLit>
          </c:yVal>
          <c:smooth val="0"/>
          <c:extLst>
            <c:ext xmlns:c16="http://schemas.microsoft.com/office/drawing/2014/chart" uri="{C3380CC4-5D6E-409C-BE32-E72D297353CC}">
              <c16:uniqueId val="{00000028-0D5B-4C62-B15F-F0F86E881C47}"/>
            </c:ext>
          </c:extLst>
        </c:ser>
        <c:ser>
          <c:idx val="36"/>
          <c:order val="36"/>
          <c:spPr>
            <a:ln w="3175">
              <a:solidFill>
                <a:srgbClr val="000000"/>
              </a:solidFill>
              <a:prstDash val="solid"/>
            </a:ln>
          </c:spPr>
          <c:marker>
            <c:symbol val="none"/>
          </c:marker>
          <c:xVal>
            <c:numLit>
              <c:formatCode>General</c:formatCode>
              <c:ptCount val="2"/>
              <c:pt idx="0">
                <c:v>-2.7974788154258228</c:v>
              </c:pt>
              <c:pt idx="1">
                <c:v>-3.347142064510721</c:v>
              </c:pt>
            </c:numLit>
          </c:xVal>
          <c:yVal>
            <c:numLit>
              <c:formatCode>General</c:formatCode>
              <c:ptCount val="2"/>
              <c:pt idx="0">
                <c:v>1.7561020112610893E-2</c:v>
              </c:pt>
              <c:pt idx="1">
                <c:v>1.7383084173262529E-2</c:v>
              </c:pt>
            </c:numLit>
          </c:yVal>
          <c:smooth val="0"/>
          <c:extLst>
            <c:ext xmlns:c16="http://schemas.microsoft.com/office/drawing/2014/chart" uri="{C3380CC4-5D6E-409C-BE32-E72D297353CC}">
              <c16:uniqueId val="{00000029-0D5B-4C62-B15F-F0F86E881C47}"/>
            </c:ext>
          </c:extLst>
        </c:ser>
        <c:ser>
          <c:idx val="37"/>
          <c:order val="37"/>
          <c:spPr>
            <a:ln w="3175">
              <a:solidFill>
                <a:srgbClr val="000000"/>
              </a:solidFill>
              <a:prstDash val="solid"/>
            </a:ln>
          </c:spPr>
          <c:marker>
            <c:symbol val="none"/>
          </c:marker>
          <c:xVal>
            <c:numLit>
              <c:formatCode>General</c:formatCode>
              <c:ptCount val="2"/>
              <c:pt idx="0">
                <c:v>-2.7275275569962796</c:v>
              </c:pt>
              <c:pt idx="1">
                <c:v>-3.000512197277649</c:v>
              </c:pt>
            </c:numLit>
          </c:xVal>
          <c:yVal>
            <c:numLit>
              <c:formatCode>General</c:formatCode>
              <c:ptCount val="2"/>
              <c:pt idx="0">
                <c:v>1.7446155602337338E-2</c:v>
              </c:pt>
              <c:pt idx="1">
                <c:v>1.7354129262755674E-2</c:v>
              </c:pt>
            </c:numLit>
          </c:yVal>
          <c:smooth val="0"/>
          <c:extLst>
            <c:ext xmlns:c16="http://schemas.microsoft.com/office/drawing/2014/chart" uri="{C3380CC4-5D6E-409C-BE32-E72D297353CC}">
              <c16:uniqueId val="{0000002A-0D5B-4C62-B15F-F0F86E881C47}"/>
            </c:ext>
          </c:extLst>
        </c:ser>
        <c:ser>
          <c:idx val="38"/>
          <c:order val="38"/>
          <c:spPr>
            <a:ln w="3175">
              <a:solidFill>
                <a:srgbClr val="000000"/>
              </a:solidFill>
              <a:prstDash val="solid"/>
            </a:ln>
          </c:spPr>
          <c:marker>
            <c:symbol val="none"/>
          </c:marker>
          <c:xVal>
            <c:numLit>
              <c:formatCode>General</c:formatCode>
              <c:ptCount val="2"/>
              <c:pt idx="0">
                <c:v>-2.6535301585852245</c:v>
              </c:pt>
              <c:pt idx="1">
                <c:v>-2.9245703956378155</c:v>
              </c:pt>
            </c:numLit>
          </c:xVal>
          <c:yVal>
            <c:numLit>
              <c:formatCode>General</c:formatCode>
              <c:ptCount val="2"/>
              <c:pt idx="0">
                <c:v>1.7329441559713527E-2</c:v>
              </c:pt>
              <c:pt idx="1">
                <c:v>1.7234322847302124E-2</c:v>
              </c:pt>
            </c:numLit>
          </c:yVal>
          <c:smooth val="0"/>
          <c:extLst>
            <c:ext xmlns:c16="http://schemas.microsoft.com/office/drawing/2014/chart" uri="{C3380CC4-5D6E-409C-BE32-E72D297353CC}">
              <c16:uniqueId val="{0000002B-0D5B-4C62-B15F-F0F86E881C47}"/>
            </c:ext>
          </c:extLst>
        </c:ser>
        <c:ser>
          <c:idx val="39"/>
          <c:order val="39"/>
          <c:spPr>
            <a:ln w="3175">
              <a:solidFill>
                <a:srgbClr val="000000"/>
              </a:solidFill>
              <a:prstDash val="solid"/>
            </a:ln>
          </c:spPr>
          <c:marker>
            <c:symbol val="none"/>
          </c:marker>
          <c:xVal>
            <c:numLit>
              <c:formatCode>General</c:formatCode>
              <c:ptCount val="2"/>
              <c:pt idx="0">
                <c:v>-2.575314086634803</c:v>
              </c:pt>
              <c:pt idx="1">
                <c:v>-2.8442984434997114</c:v>
              </c:pt>
            </c:numLit>
          </c:xVal>
          <c:yVal>
            <c:numLit>
              <c:formatCode>General</c:formatCode>
              <c:ptCount val="2"/>
              <c:pt idx="0">
                <c:v>1.7210927971887027E-2</c:v>
              </c:pt>
              <c:pt idx="1">
                <c:v>1.7112668261044767E-2</c:v>
              </c:pt>
            </c:numLit>
          </c:yVal>
          <c:smooth val="0"/>
          <c:extLst>
            <c:ext xmlns:c16="http://schemas.microsoft.com/office/drawing/2014/chart" uri="{C3380CC4-5D6E-409C-BE32-E72D297353CC}">
              <c16:uniqueId val="{0000002C-0D5B-4C62-B15F-F0F86E881C47}"/>
            </c:ext>
          </c:extLst>
        </c:ser>
        <c:ser>
          <c:idx val="40"/>
          <c:order val="40"/>
          <c:spPr>
            <a:ln w="3175">
              <a:solidFill>
                <a:srgbClr val="000000"/>
              </a:solidFill>
              <a:prstDash val="solid"/>
            </a:ln>
          </c:spPr>
          <c:marker>
            <c:symbol val="none"/>
          </c:marker>
          <c:xVal>
            <c:numLit>
              <c:formatCode>General</c:formatCode>
              <c:ptCount val="2"/>
              <c:pt idx="0">
                <c:v>-2.4927056022343019</c:v>
              </c:pt>
              <c:pt idx="1">
                <c:v>-2.7595179345950451</c:v>
              </c:pt>
            </c:numLit>
          </c:xVal>
          <c:yVal>
            <c:numLit>
              <c:formatCode>General</c:formatCode>
              <c:ptCount val="2"/>
              <c:pt idx="0">
                <c:v>1.7090674608169102E-2</c:v>
              </c:pt>
              <c:pt idx="1">
                <c:v>1.6989226782600338E-2</c:v>
              </c:pt>
            </c:numLit>
          </c:yVal>
          <c:smooth val="0"/>
          <c:extLst>
            <c:ext xmlns:c16="http://schemas.microsoft.com/office/drawing/2014/chart" uri="{C3380CC4-5D6E-409C-BE32-E72D297353CC}">
              <c16:uniqueId val="{0000002D-0D5B-4C62-B15F-F0F86E881C47}"/>
            </c:ext>
          </c:extLst>
        </c:ser>
        <c:ser>
          <c:idx val="41"/>
          <c:order val="41"/>
          <c:spPr>
            <a:ln w="3175">
              <a:solidFill>
                <a:srgbClr val="000000"/>
              </a:solidFill>
              <a:prstDash val="solid"/>
            </a:ln>
          </c:spPr>
          <c:marker>
            <c:symbol val="none"/>
          </c:marker>
          <c:xVal>
            <c:numLit>
              <c:formatCode>General</c:formatCode>
              <c:ptCount val="2"/>
              <c:pt idx="0">
                <c:v>-2.4055306975638757</c:v>
              </c:pt>
              <c:pt idx="1">
                <c:v>-2.9345947649926489</c:v>
              </c:pt>
            </c:numLit>
          </c:xVal>
          <c:yVal>
            <c:numLit>
              <c:formatCode>General</c:formatCode>
              <c:ptCount val="2"/>
              <c:pt idx="0">
                <c:v>1.6968751672690126E-2</c:v>
              </c:pt>
              <c:pt idx="1">
                <c:v>1.6759423705491334E-2</c:v>
              </c:pt>
            </c:numLit>
          </c:yVal>
          <c:smooth val="0"/>
          <c:extLst>
            <c:ext xmlns:c16="http://schemas.microsoft.com/office/drawing/2014/chart" uri="{C3380CC4-5D6E-409C-BE32-E72D297353CC}">
              <c16:uniqueId val="{0000002E-0D5B-4C62-B15F-F0F86E881C47}"/>
            </c:ext>
          </c:extLst>
        </c:ser>
        <c:ser>
          <c:idx val="42"/>
          <c:order val="42"/>
          <c:spPr>
            <a:ln w="3175">
              <a:solidFill>
                <a:srgbClr val="000000"/>
              </a:solidFill>
              <a:prstDash val="solid"/>
            </a:ln>
          </c:spPr>
          <c:marker>
            <c:symbol val="none"/>
          </c:marker>
          <c:dLbls>
            <c:dLbl>
              <c:idx val="0"/>
              <c:tx>
                <c:rich>
                  <a:bodyPr rot="-16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D5B-4C62-B15F-F0F86E881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-3.6048866411471585</c:v>
              </c:pt>
            </c:numLit>
          </c:xVal>
          <c:yVal>
            <c:numLit>
              <c:formatCode>General</c:formatCode>
              <c:ptCount val="1"/>
              <c:pt idx="0">
                <c:v>1.649447339505386E-2</c:v>
              </c:pt>
            </c:numLit>
          </c:yVal>
          <c:smooth val="0"/>
          <c:extLst>
            <c:ext xmlns:c16="http://schemas.microsoft.com/office/drawing/2014/chart" uri="{C3380CC4-5D6E-409C-BE32-E72D297353CC}">
              <c16:uniqueId val="{00000030-0D5B-4C62-B15F-F0F86E881C47}"/>
            </c:ext>
          </c:extLst>
        </c:ser>
        <c:ser>
          <c:idx val="43"/>
          <c:order val="43"/>
          <c:spPr>
            <a:ln w="3175">
              <a:solidFill>
                <a:srgbClr val="000000"/>
              </a:solidFill>
              <a:prstDash val="solid"/>
            </a:ln>
          </c:spPr>
          <c:marker>
            <c:symbol val="none"/>
          </c:marker>
          <c:xVal>
            <c:numLit>
              <c:formatCode>General</c:formatCode>
              <c:ptCount val="2"/>
              <c:pt idx="0">
                <c:v>-2.313616160746133</c:v>
              </c:pt>
              <c:pt idx="1">
                <c:v>-2.5757172835089825</c:v>
              </c:pt>
            </c:numLit>
          </c:xVal>
          <c:yVal>
            <c:numLit>
              <c:formatCode>General</c:formatCode>
              <c:ptCount val="2"/>
              <c:pt idx="0">
                <c:v>1.6845240437890034E-2</c:v>
              </c:pt>
              <c:pt idx="1">
                <c:v>1.6737282465345154E-2</c:v>
              </c:pt>
            </c:numLit>
          </c:yVal>
          <c:smooth val="0"/>
          <c:extLst>
            <c:ext xmlns:c16="http://schemas.microsoft.com/office/drawing/2014/chart" uri="{C3380CC4-5D6E-409C-BE32-E72D297353CC}">
              <c16:uniqueId val="{00000031-0D5B-4C62-B15F-F0F86E881C47}"/>
            </c:ext>
          </c:extLst>
        </c:ser>
        <c:ser>
          <c:idx val="44"/>
          <c:order val="44"/>
          <c:spPr>
            <a:ln w="3175">
              <a:solidFill>
                <a:srgbClr val="000000"/>
              </a:solidFill>
              <a:prstDash val="solid"/>
            </a:ln>
          </c:spPr>
          <c:marker>
            <c:symbol val="none"/>
          </c:marker>
          <c:xVal>
            <c:numLit>
              <c:formatCode>General</c:formatCode>
              <c:ptCount val="2"/>
              <c:pt idx="0">
                <c:v>-2.216790773750446</c:v>
              </c:pt>
              <c:pt idx="1">
                <c:v>-2.4763434048290445</c:v>
              </c:pt>
            </c:numLit>
          </c:xVal>
          <c:yVal>
            <c:numLit>
              <c:formatCode>General</c:formatCode>
              <c:ptCount val="2"/>
              <c:pt idx="0">
                <c:v>1.6720233846569021E-2</c:v>
              </c:pt>
              <c:pt idx="1">
                <c:v>1.6608958306105915E-2</c:v>
              </c:pt>
            </c:numLit>
          </c:yVal>
          <c:smooth val="0"/>
          <c:extLst>
            <c:ext xmlns:c16="http://schemas.microsoft.com/office/drawing/2014/chart" uri="{C3380CC4-5D6E-409C-BE32-E72D297353CC}">
              <c16:uniqueId val="{00000032-0D5B-4C62-B15F-F0F86E881C47}"/>
            </c:ext>
          </c:extLst>
        </c:ser>
        <c:ser>
          <c:idx val="45"/>
          <c:order val="45"/>
          <c:spPr>
            <a:ln w="3175">
              <a:solidFill>
                <a:srgbClr val="000000"/>
              </a:solidFill>
              <a:prstDash val="solid"/>
            </a:ln>
          </c:spPr>
          <c:marker>
            <c:symbol val="none"/>
          </c:marker>
          <c:xVal>
            <c:numLit>
              <c:formatCode>General</c:formatCode>
              <c:ptCount val="2"/>
              <c:pt idx="0">
                <c:v>-2.1148866461057976</c:v>
              </c:pt>
              <c:pt idx="1">
                <c:v>-2.3717560940296778</c:v>
              </c:pt>
            </c:numLit>
          </c:xVal>
          <c:yVal>
            <c:numLit>
              <c:formatCode>General</c:formatCode>
              <c:ptCount val="2"/>
              <c:pt idx="0">
                <c:v>1.6593837068668817E-2</c:v>
              </c:pt>
              <c:pt idx="1">
                <c:v>1.6479205804989291E-2</c:v>
              </c:pt>
            </c:numLit>
          </c:yVal>
          <c:smooth val="0"/>
          <c:extLst>
            <c:ext xmlns:c16="http://schemas.microsoft.com/office/drawing/2014/chart" uri="{C3380CC4-5D6E-409C-BE32-E72D297353CC}">
              <c16:uniqueId val="{00000033-0D5B-4C62-B15F-F0F86E881C47}"/>
            </c:ext>
          </c:extLst>
        </c:ser>
        <c:ser>
          <c:idx val="46"/>
          <c:order val="46"/>
          <c:spPr>
            <a:ln w="3175">
              <a:solidFill>
                <a:srgbClr val="000000"/>
              </a:solidFill>
              <a:prstDash val="solid"/>
            </a:ln>
          </c:spPr>
          <c:marker>
            <c:symbol val="none"/>
          </c:marker>
          <c:xVal>
            <c:numLit>
              <c:formatCode>General</c:formatCode>
              <c:ptCount val="2"/>
              <c:pt idx="0">
                <c:v>-2.0077406848213544</c:v>
              </c:pt>
              <c:pt idx="1">
                <c:v>-2.2617878171027579</c:v>
              </c:pt>
            </c:numLit>
          </c:xVal>
          <c:yVal>
            <c:numLit>
              <c:formatCode>General</c:formatCode>
              <c:ptCount val="2"/>
              <c:pt idx="0">
                <c:v>1.6466167997462634E-2</c:v>
              </c:pt>
              <c:pt idx="1">
                <c:v>1.6348145906530984E-2</c:v>
              </c:pt>
            </c:numLit>
          </c:yVal>
          <c:smooth val="0"/>
          <c:extLst>
            <c:ext xmlns:c16="http://schemas.microsoft.com/office/drawing/2014/chart" uri="{C3380CC4-5D6E-409C-BE32-E72D297353CC}">
              <c16:uniqueId val="{00000034-0D5B-4C62-B15F-F0F86E881C47}"/>
            </c:ext>
          </c:extLst>
        </c:ser>
        <c:ser>
          <c:idx val="47"/>
          <c:order val="47"/>
          <c:spPr>
            <a:ln w="3175">
              <a:solidFill>
                <a:srgbClr val="000000"/>
              </a:solidFill>
              <a:prstDash val="solid"/>
            </a:ln>
          </c:spPr>
          <c:marker>
            <c:symbol val="none"/>
          </c:marker>
          <c:xVal>
            <c:numLit>
              <c:formatCode>General</c:formatCode>
              <c:ptCount val="2"/>
              <c:pt idx="0">
                <c:v>-1.8951961980647147</c:v>
              </c:pt>
              <c:pt idx="1">
                <c:v>-2.3973910482134464</c:v>
              </c:pt>
            </c:numLit>
          </c:xVal>
          <c:yVal>
            <c:numLit>
              <c:formatCode>General</c:formatCode>
              <c:ptCount val="2"/>
              <c:pt idx="0">
                <c:v>1.6337357668468857E-2</c:v>
              </c:pt>
              <c:pt idx="1">
                <c:v>1.6094504538306124E-2</c:v>
              </c:pt>
            </c:numLit>
          </c:yVal>
          <c:smooth val="0"/>
          <c:extLst>
            <c:ext xmlns:c16="http://schemas.microsoft.com/office/drawing/2014/chart" uri="{C3380CC4-5D6E-409C-BE32-E72D297353CC}">
              <c16:uniqueId val="{00000035-0D5B-4C62-B15F-F0F86E881C47}"/>
            </c:ext>
          </c:extLst>
        </c:ser>
        <c:ser>
          <c:idx val="48"/>
          <c:order val="48"/>
          <c:spPr>
            <a:ln w="3175">
              <a:solidFill>
                <a:srgbClr val="000000"/>
              </a:solidFill>
              <a:prstDash val="solid"/>
            </a:ln>
          </c:spPr>
          <c:marker>
            <c:symbol val="none"/>
          </c:marker>
          <c:xVal>
            <c:numLit>
              <c:formatCode>General</c:formatCode>
              <c:ptCount val="2"/>
              <c:pt idx="0">
                <c:v>-1.7771046267974688</c:v>
              </c:pt>
              <c:pt idx="1">
                <c:v>-2.0250727985773351</c:v>
              </c:pt>
            </c:numLit>
          </c:xVal>
          <c:yVal>
            <c:numLit>
              <c:formatCode>General</c:formatCode>
              <c:ptCount val="2"/>
              <c:pt idx="0">
                <c:v>1.6207550583249328E-2</c:v>
              </c:pt>
              <c:pt idx="1">
                <c:v>1.60826554977502E-2</c:v>
              </c:pt>
            </c:numLit>
          </c:yVal>
          <c:smooth val="0"/>
          <c:extLst>
            <c:ext xmlns:c16="http://schemas.microsoft.com/office/drawing/2014/chart" uri="{C3380CC4-5D6E-409C-BE32-E72D297353CC}">
              <c16:uniqueId val="{00000036-0D5B-4C62-B15F-F0F86E881C47}"/>
            </c:ext>
          </c:extLst>
        </c:ser>
        <c:ser>
          <c:idx val="49"/>
          <c:order val="49"/>
          <c:spPr>
            <a:ln w="3175">
              <a:solidFill>
                <a:srgbClr val="000000"/>
              </a:solidFill>
              <a:prstDash val="solid"/>
            </a:ln>
          </c:spPr>
          <c:marker>
            <c:symbol val="none"/>
          </c:marker>
          <c:xVal>
            <c:numLit>
              <c:formatCode>General</c:formatCode>
              <c:ptCount val="2"/>
              <c:pt idx="0">
                <c:v>-1.6533273947279199</c:v>
              </c:pt>
              <c:pt idx="1">
                <c:v>-1.8980310127626514</c:v>
              </c:pt>
            </c:numLit>
          </c:xVal>
          <c:yVal>
            <c:numLit>
              <c:formatCode>General</c:formatCode>
              <c:ptCount val="2"/>
              <c:pt idx="0">
                <c:v>1.6076904919395639E-2</c:v>
              </c:pt>
              <c:pt idx="1">
                <c:v>1.5948535562537603E-2</c:v>
              </c:pt>
            </c:numLit>
          </c:yVal>
          <c:smooth val="0"/>
          <c:extLst>
            <c:ext xmlns:c16="http://schemas.microsoft.com/office/drawing/2014/chart" uri="{C3380CC4-5D6E-409C-BE32-E72D297353CC}">
              <c16:uniqueId val="{00000037-0D5B-4C62-B15F-F0F86E881C47}"/>
            </c:ext>
          </c:extLst>
        </c:ser>
        <c:ser>
          <c:idx val="50"/>
          <c:order val="50"/>
          <c:spPr>
            <a:ln w="3175">
              <a:solidFill>
                <a:srgbClr val="000000"/>
              </a:solidFill>
              <a:prstDash val="solid"/>
            </a:ln>
          </c:spPr>
          <c:marker>
            <c:symbol val="none"/>
          </c:marker>
          <c:xVal>
            <c:numLit>
              <c:formatCode>General</c:formatCode>
              <c:ptCount val="2"/>
              <c:pt idx="0">
                <c:v>-1.5237378626491505</c:v>
              </c:pt>
              <c:pt idx="1">
                <c:v>-1.7650220780229187</c:v>
              </c:pt>
            </c:numLit>
          </c:xVal>
          <c:yVal>
            <c:numLit>
              <c:formatCode>General</c:formatCode>
              <c:ptCount val="2"/>
              <c:pt idx="0">
                <c:v>1.5945592607543146E-2</c:v>
              </c:pt>
              <c:pt idx="1">
                <c:v>1.5813729677496932E-2</c:v>
              </c:pt>
            </c:numLit>
          </c:yVal>
          <c:smooth val="0"/>
          <c:extLst>
            <c:ext xmlns:c16="http://schemas.microsoft.com/office/drawing/2014/chart" uri="{C3380CC4-5D6E-409C-BE32-E72D297353CC}">
              <c16:uniqueId val="{00000038-0D5B-4C62-B15F-F0F86E881C47}"/>
            </c:ext>
          </c:extLst>
        </c:ser>
        <c:ser>
          <c:idx val="51"/>
          <c:order val="51"/>
          <c:spPr>
            <a:ln w="3175">
              <a:solidFill>
                <a:srgbClr val="000000"/>
              </a:solidFill>
              <a:prstDash val="solid"/>
            </a:ln>
          </c:spPr>
          <c:marker>
            <c:symbol val="none"/>
          </c:marker>
          <c:xVal>
            <c:numLit>
              <c:formatCode>General</c:formatCode>
              <c:ptCount val="2"/>
              <c:pt idx="0">
                <c:v>-1.388223368555124</c:v>
              </c:pt>
              <c:pt idx="1">
                <c:v>-1.6259301677145295</c:v>
              </c:pt>
            </c:numLit>
          </c:xVal>
          <c:yVal>
            <c:numLit>
              <c:formatCode>General</c:formatCode>
              <c:ptCount val="2"/>
              <c:pt idx="0">
                <c:v>1.5813799256283002E-2</c:v>
              </c:pt>
              <c:pt idx="1">
                <c:v>1.5678428325744984E-2</c:v>
              </c:pt>
            </c:numLit>
          </c:yVal>
          <c:smooth val="0"/>
          <c:extLst>
            <c:ext xmlns:c16="http://schemas.microsoft.com/office/drawing/2014/chart" uri="{C3380CC4-5D6E-409C-BE32-E72D297353CC}">
              <c16:uniqueId val="{00000039-0D5B-4C62-B15F-F0F86E881C47}"/>
            </c:ext>
          </c:extLst>
        </c:ser>
        <c:ser>
          <c:idx val="52"/>
          <c:order val="52"/>
          <c:spPr>
            <a:ln w="3175">
              <a:solidFill>
                <a:srgbClr val="000000"/>
              </a:solidFill>
              <a:prstDash val="solid"/>
            </a:ln>
          </c:spPr>
          <c:marker>
            <c:symbol val="none"/>
          </c:marker>
          <c:xVal>
            <c:numLit>
              <c:formatCode>General</c:formatCode>
              <c:ptCount val="2"/>
              <c:pt idx="0">
                <c:v>-1.2466873299709398</c:v>
              </c:pt>
              <c:pt idx="1">
                <c:v>-1.7146635892116067</c:v>
              </c:pt>
            </c:numLit>
          </c:xVal>
          <c:yVal>
            <c:numLit>
              <c:formatCode>General</c:formatCode>
              <c:ptCount val="2"/>
              <c:pt idx="0">
                <c:v>1.5681723906468353E-2</c:v>
              </c:pt>
              <c:pt idx="1">
                <c:v>1.540398349013896E-2</c:v>
              </c:pt>
            </c:numLit>
          </c:yVal>
          <c:smooth val="0"/>
          <c:extLst>
            <c:ext xmlns:c16="http://schemas.microsoft.com/office/drawing/2014/chart" uri="{C3380CC4-5D6E-409C-BE32-E72D297353CC}">
              <c16:uniqueId val="{0000003A-0D5B-4C62-B15F-F0F86E881C47}"/>
            </c:ext>
          </c:extLst>
        </c:ser>
        <c:ser>
          <c:idx val="53"/>
          <c:order val="53"/>
          <c:spPr>
            <a:ln w="3175">
              <a:solidFill>
                <a:srgbClr val="000000"/>
              </a:solidFill>
              <a:prstDash val="solid"/>
            </a:ln>
          </c:spPr>
          <c:marker>
            <c:symbol val="none"/>
          </c:marker>
          <c:dLbls>
            <c:dLbl>
              <c:idx val="0"/>
              <c:tx>
                <c:rich>
                  <a:bodyPr rot="-23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D5B-4C62-B15F-F0F86E881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-2.3076574148248494</c:v>
              </c:pt>
            </c:numLit>
          </c:xVal>
          <c:yVal>
            <c:numLit>
              <c:formatCode>General</c:formatCode>
              <c:ptCount val="1"/>
              <c:pt idx="0">
                <c:v>1.5052384582440575E-2</c:v>
              </c:pt>
            </c:numLit>
          </c:yVal>
          <c:smooth val="0"/>
          <c:extLst>
            <c:ext xmlns:c16="http://schemas.microsoft.com/office/drawing/2014/chart" uri="{C3380CC4-5D6E-409C-BE32-E72D297353CC}">
              <c16:uniqueId val="{0000003C-0D5B-4C62-B15F-F0F86E881C47}"/>
            </c:ext>
          </c:extLst>
        </c:ser>
        <c:ser>
          <c:idx val="54"/>
          <c:order val="54"/>
          <c:spPr>
            <a:ln w="3175">
              <a:solidFill>
                <a:srgbClr val="000000"/>
              </a:solidFill>
              <a:prstDash val="solid"/>
            </a:ln>
          </c:spPr>
          <c:marker>
            <c:symbol val="none"/>
          </c:marker>
          <c:xVal>
            <c:numLit>
              <c:formatCode>General</c:formatCode>
              <c:ptCount val="2"/>
              <c:pt idx="0">
                <c:v>-1.0990513798353114</c:v>
              </c:pt>
              <c:pt idx="1">
                <c:v>-1.3291187844030128</c:v>
              </c:pt>
            </c:numLit>
          </c:xVal>
          <c:yVal>
            <c:numLit>
              <c:formatCode>General</c:formatCode>
              <c:ptCount val="2"/>
              <c:pt idx="0">
                <c:v>1.5549578597725369E-2</c:v>
              </c:pt>
              <c:pt idx="1">
                <c:v>1.5407169702183561E-2</c:v>
              </c:pt>
            </c:numLit>
          </c:yVal>
          <c:smooth val="0"/>
          <c:extLst>
            <c:ext xmlns:c16="http://schemas.microsoft.com/office/drawing/2014/chart" uri="{C3380CC4-5D6E-409C-BE32-E72D297353CC}">
              <c16:uniqueId val="{0000003D-0D5B-4C62-B15F-F0F86E881C47}"/>
            </c:ext>
          </c:extLst>
        </c:ser>
        <c:ser>
          <c:idx val="55"/>
          <c:order val="55"/>
          <c:spPr>
            <a:ln w="3175">
              <a:solidFill>
                <a:srgbClr val="000000"/>
              </a:solidFill>
              <a:prstDash val="solid"/>
            </a:ln>
          </c:spPr>
          <c:marker>
            <c:symbol val="none"/>
          </c:marker>
          <c:xVal>
            <c:numLit>
              <c:formatCode>General</c:formatCode>
              <c:ptCount val="2"/>
              <c:pt idx="0">
                <c:v>-0.94525750221214544</c:v>
              </c:pt>
              <c:pt idx="1">
                <c:v>-1.171258910076004</c:v>
              </c:pt>
            </c:numLit>
          </c:xVal>
          <c:yVal>
            <c:numLit>
              <c:formatCode>General</c:formatCode>
              <c:ptCount val="2"/>
              <c:pt idx="0">
                <c:v>1.5417587732063727E-2</c:v>
              </c:pt>
              <c:pt idx="1">
                <c:v>1.5271660405463735E-2</c:v>
              </c:pt>
            </c:numLit>
          </c:yVal>
          <c:smooth val="0"/>
          <c:extLst>
            <c:ext xmlns:c16="http://schemas.microsoft.com/office/drawing/2014/chart" uri="{C3380CC4-5D6E-409C-BE32-E72D297353CC}">
              <c16:uniqueId val="{0000003E-0D5B-4C62-B15F-F0F86E881C47}"/>
            </c:ext>
          </c:extLst>
        </c:ser>
        <c:ser>
          <c:idx val="56"/>
          <c:order val="56"/>
          <c:spPr>
            <a:ln w="3175">
              <a:solidFill>
                <a:srgbClr val="000000"/>
              </a:solidFill>
              <a:prstDash val="solid"/>
            </a:ln>
          </c:spPr>
          <c:marker>
            <c:symbol val="none"/>
          </c:marker>
          <c:xVal>
            <c:numLit>
              <c:formatCode>General</c:formatCode>
              <c:ptCount val="2"/>
              <c:pt idx="0">
                <c:v>-0.78527012929796181</c:v>
              </c:pt>
              <c:pt idx="1">
                <c:v>-1.0070396059342881</c:v>
              </c:pt>
            </c:numLit>
          </c:xVal>
          <c:yVal>
            <c:numLit>
              <c:formatCode>General</c:formatCode>
              <c:ptCount val="2"/>
              <c:pt idx="0">
                <c:v>1.5285987222392702E-2</c:v>
              </c:pt>
              <c:pt idx="1">
                <c:v>1.5136550067768871E-2</c:v>
              </c:pt>
            </c:numLit>
          </c:yVal>
          <c:smooth val="0"/>
          <c:extLst>
            <c:ext xmlns:c16="http://schemas.microsoft.com/office/drawing/2014/chart" uri="{C3380CC4-5D6E-409C-BE32-E72D297353CC}">
              <c16:uniqueId val="{0000003F-0D5B-4C62-B15F-F0F86E881C47}"/>
            </c:ext>
          </c:extLst>
        </c:ser>
        <c:ser>
          <c:idx val="57"/>
          <c:order val="57"/>
          <c:spPr>
            <a:ln w="3175">
              <a:solidFill>
                <a:srgbClr val="000000"/>
              </a:solidFill>
              <a:prstDash val="solid"/>
            </a:ln>
          </c:spPr>
          <c:marker>
            <c:symbol val="none"/>
          </c:marker>
          <c:xVal>
            <c:numLit>
              <c:formatCode>General</c:formatCode>
              <c:ptCount val="2"/>
              <c:pt idx="0">
                <c:v>-0.61907815687851919</c:v>
              </c:pt>
              <c:pt idx="1">
                <c:v>-0.83644925897128908</c:v>
              </c:pt>
            </c:numLit>
          </c:xVal>
          <c:yVal>
            <c:numLit>
              <c:formatCode>General</c:formatCode>
              <c:ptCount val="2"/>
              <c:pt idx="0">
                <c:v>1.5155023417515526E-2</c:v>
              </c:pt>
              <c:pt idx="1">
                <c:v>1.5002091586488069E-2</c:v>
              </c:pt>
            </c:numLit>
          </c:yVal>
          <c:smooth val="0"/>
          <c:extLst>
            <c:ext xmlns:c16="http://schemas.microsoft.com/office/drawing/2014/chart" uri="{C3380CC4-5D6E-409C-BE32-E72D297353CC}">
              <c16:uniqueId val="{00000040-0D5B-4C62-B15F-F0F86E881C47}"/>
            </c:ext>
          </c:extLst>
        </c:ser>
        <c:ser>
          <c:idx val="58"/>
          <c:order val="58"/>
          <c:spPr>
            <a:ln w="3175">
              <a:solidFill>
                <a:srgbClr val="000000"/>
              </a:solidFill>
              <a:prstDash val="solid"/>
            </a:ln>
          </c:spPr>
          <c:marker>
            <c:symbol val="none"/>
          </c:marker>
          <c:xVal>
            <c:numLit>
              <c:formatCode>General</c:formatCode>
              <c:ptCount val="2"/>
              <c:pt idx="0">
                <c:v>-0.44669683184065456</c:v>
              </c:pt>
              <c:pt idx="1">
                <c:v>-0.87235472792758506</c:v>
              </c:pt>
            </c:numLit>
          </c:xVal>
          <c:yVal>
            <c:numLit>
              <c:formatCode>General</c:formatCode>
              <c:ptCount val="2"/>
              <c:pt idx="0">
                <c:v>1.5024951799785189E-2</c:v>
              </c:pt>
              <c:pt idx="1">
                <c:v>1.4712176032084051E-2</c:v>
              </c:pt>
            </c:numLit>
          </c:yVal>
          <c:smooth val="0"/>
          <c:extLst>
            <c:ext xmlns:c16="http://schemas.microsoft.com/office/drawing/2014/chart" uri="{C3380CC4-5D6E-409C-BE32-E72D297353CC}">
              <c16:uniqueId val="{00000041-0D5B-4C62-B15F-F0F86E881C47}"/>
            </c:ext>
          </c:extLst>
        </c:ser>
        <c:ser>
          <c:idx val="59"/>
          <c:order val="59"/>
          <c:spPr>
            <a:ln w="3175">
              <a:solidFill>
                <a:srgbClr val="000000"/>
              </a:solidFill>
              <a:prstDash val="solid"/>
            </a:ln>
          </c:spPr>
          <c:marker>
            <c:symbol val="none"/>
          </c:marker>
          <c:xVal>
            <c:numLit>
              <c:formatCode>General</c:formatCode>
              <c:ptCount val="2"/>
              <c:pt idx="0">
                <c:v>-0.26816946284299165</c:v>
              </c:pt>
              <c:pt idx="1">
                <c:v>-0.47624598722283679</c:v>
              </c:pt>
            </c:numLit>
          </c:xVal>
          <c:yVal>
            <c:numLit>
              <c:formatCode>General</c:formatCode>
              <c:ptCount val="2"/>
              <c:pt idx="0">
                <c:v>1.4896035457000568E-2</c:v>
              </c:pt>
              <c:pt idx="1">
                <c:v>1.4736187176696662E-2</c:v>
              </c:pt>
            </c:numLit>
          </c:yVal>
          <c:smooth val="0"/>
          <c:extLst>
            <c:ext xmlns:c16="http://schemas.microsoft.com/office/drawing/2014/chart" uri="{C3380CC4-5D6E-409C-BE32-E72D297353CC}">
              <c16:uniqueId val="{00000042-0D5B-4C62-B15F-F0F86E881C47}"/>
            </c:ext>
          </c:extLst>
        </c:ser>
        <c:ser>
          <c:idx val="60"/>
          <c:order val="60"/>
          <c:spPr>
            <a:ln w="3175">
              <a:solidFill>
                <a:srgbClr val="000000"/>
              </a:solidFill>
              <a:prstDash val="solid"/>
            </a:ln>
          </c:spPr>
          <c:marker>
            <c:symbol val="none"/>
          </c:marker>
          <c:xVal>
            <c:numLit>
              <c:formatCode>General</c:formatCode>
              <c:ptCount val="2"/>
              <c:pt idx="0">
                <c:v>-8.3568904066706209E-2</c:v>
              </c:pt>
              <c:pt idx="1">
                <c:v>-0.28675188305885801</c:v>
              </c:pt>
            </c:numLit>
          </c:xVal>
          <c:yVal>
            <c:numLit>
              <c:formatCode>General</c:formatCode>
              <c:ptCount val="2"/>
              <c:pt idx="0">
                <c:v>1.4768543336192361E-2</c:v>
              </c:pt>
              <c:pt idx="1">
                <c:v>1.4605287509683575E-2</c:v>
              </c:pt>
            </c:numLit>
          </c:yVal>
          <c:smooth val="0"/>
          <c:extLst>
            <c:ext xmlns:c16="http://schemas.microsoft.com/office/drawing/2014/chart" uri="{C3380CC4-5D6E-409C-BE32-E72D297353CC}">
              <c16:uniqueId val="{00000043-0D5B-4C62-B15F-F0F86E881C47}"/>
            </c:ext>
          </c:extLst>
        </c:ser>
        <c:ser>
          <c:idx val="61"/>
          <c:order val="61"/>
          <c:spPr>
            <a:ln w="3175">
              <a:solidFill>
                <a:srgbClr val="000000"/>
              </a:solidFill>
              <a:prstDash val="solid"/>
            </a:ln>
          </c:spPr>
          <c:marker>
            <c:symbol val="none"/>
          </c:marker>
          <c:xVal>
            <c:numLit>
              <c:formatCode>General</c:formatCode>
              <c:ptCount val="2"/>
              <c:pt idx="0">
                <c:v>0.10700123764518008</c:v>
              </c:pt>
              <c:pt idx="1">
                <c:v>-9.1127145974432305E-2</c:v>
              </c:pt>
            </c:numLit>
          </c:xVal>
          <c:yVal>
            <c:numLit>
              <c:formatCode>General</c:formatCode>
              <c:ptCount val="2"/>
              <c:pt idx="0">
                <c:v>1.4642748293527812E-2</c:v>
              </c:pt>
              <c:pt idx="1">
                <c:v>1.4476128428781763E-2</c:v>
              </c:pt>
            </c:numLit>
          </c:yVal>
          <c:smooth val="0"/>
          <c:extLst>
            <c:ext xmlns:c16="http://schemas.microsoft.com/office/drawing/2014/chart" uri="{C3380CC4-5D6E-409C-BE32-E72D297353CC}">
              <c16:uniqueId val="{00000044-0D5B-4C62-B15F-F0F86E881C47}"/>
            </c:ext>
          </c:extLst>
        </c:ser>
        <c:ser>
          <c:idx val="62"/>
          <c:order val="62"/>
          <c:spPr>
            <a:ln w="3175">
              <a:solidFill>
                <a:srgbClr val="000000"/>
              </a:solidFill>
              <a:prstDash val="solid"/>
            </a:ln>
          </c:spPr>
          <c:marker>
            <c:symbol val="none"/>
          </c:marker>
          <c:xVal>
            <c:numLit>
              <c:formatCode>General</c:formatCode>
              <c:ptCount val="2"/>
              <c:pt idx="0">
                <c:v>0.30340571978893238</c:v>
              </c:pt>
              <c:pt idx="1">
                <c:v>0.11048958435157942</c:v>
              </c:pt>
            </c:numLit>
          </c:xVal>
          <c:yVal>
            <c:numLit>
              <c:formatCode>General</c:formatCode>
              <c:ptCount val="2"/>
              <c:pt idx="0">
                <c:v>1.4518924961431453E-2</c:v>
              </c:pt>
              <c:pt idx="1">
                <c:v>1.4348991954383022E-2</c:v>
              </c:pt>
            </c:numLit>
          </c:yVal>
          <c:smooth val="0"/>
          <c:extLst>
            <c:ext xmlns:c16="http://schemas.microsoft.com/office/drawing/2014/chart" uri="{C3380CC4-5D6E-409C-BE32-E72D297353CC}">
              <c16:uniqueId val="{00000045-0D5B-4C62-B15F-F0F86E881C47}"/>
            </c:ext>
          </c:extLst>
        </c:ser>
        <c:ser>
          <c:idx val="63"/>
          <c:order val="63"/>
          <c:spPr>
            <a:ln w="3175">
              <a:solidFill>
                <a:srgbClr val="000000"/>
              </a:solidFill>
              <a:prstDash val="solid"/>
            </a:ln>
          </c:spPr>
          <c:marker>
            <c:symbol val="none"/>
          </c:marker>
          <c:xVal>
            <c:numLit>
              <c:formatCode>General</c:formatCode>
              <c:ptCount val="2"/>
              <c:pt idx="0">
                <c:v>0.5054771487943629</c:v>
              </c:pt>
              <c:pt idx="1">
                <c:v>0.13032764032617034</c:v>
              </c:pt>
            </c:numLit>
          </c:xVal>
          <c:yVal>
            <c:numLit>
              <c:formatCode>General</c:formatCode>
              <c:ptCount val="2"/>
              <c:pt idx="0">
                <c:v>1.439734746090714E-2</c:v>
              </c:pt>
              <c:pt idx="1">
                <c:v>1.4051000367389811E-2</c:v>
              </c:pt>
            </c:numLit>
          </c:yVal>
          <c:smooth val="0"/>
          <c:extLst>
            <c:ext xmlns:c16="http://schemas.microsoft.com/office/drawing/2014/chart" uri="{C3380CC4-5D6E-409C-BE32-E72D297353CC}">
              <c16:uniqueId val="{00000046-0D5B-4C62-B15F-F0F86E881C47}"/>
            </c:ext>
          </c:extLst>
        </c:ser>
        <c:ser>
          <c:idx val="64"/>
          <c:order val="64"/>
          <c:spPr>
            <a:ln w="3175">
              <a:solidFill>
                <a:srgbClr val="000000"/>
              </a:solidFill>
              <a:prstDash val="solid"/>
            </a:ln>
          </c:spPr>
          <c:marker>
            <c:symbol val="none"/>
          </c:marker>
          <c:dLbls>
            <c:dLbl>
              <c:idx val="0"/>
              <c:tx>
                <c:rich>
                  <a:bodyPr rot="-31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7-0D5B-4C62-B15F-F0F86E881C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-0.34514016993581637</c:v>
              </c:pt>
            </c:numLit>
          </c:xVal>
          <c:yVal>
            <c:numLit>
              <c:formatCode>General</c:formatCode>
              <c:ptCount val="1"/>
              <c:pt idx="0">
                <c:v>1.3612458427713661E-2</c:v>
              </c:pt>
            </c:numLit>
          </c:yVal>
          <c:smooth val="0"/>
          <c:extLst>
            <c:ext xmlns:c16="http://schemas.microsoft.com/office/drawing/2014/chart" uri="{C3380CC4-5D6E-409C-BE32-E72D297353CC}">
              <c16:uniqueId val="{00000048-0D5B-4C62-B15F-F0F86E881C47}"/>
            </c:ext>
          </c:extLst>
        </c:ser>
        <c:ser>
          <c:idx val="65"/>
          <c:order val="65"/>
          <c:spPr>
            <a:ln w="3175">
              <a:solidFill>
                <a:srgbClr val="000000"/>
              </a:solidFill>
              <a:prstDash val="solid"/>
            </a:ln>
          </c:spPr>
          <c:marker>
            <c:symbol val="none"/>
          </c:marker>
          <c:xVal>
            <c:numLit>
              <c:formatCode>General</c:formatCode>
              <c:ptCount val="56"/>
              <c:pt idx="0">
                <c:v>-3.758</c:v>
              </c:pt>
              <c:pt idx="1">
                <c:v>-3.7573164307647193</c:v>
              </c:pt>
              <c:pt idx="2">
                <c:v>-3.7551514284703731</c:v>
              </c:pt>
              <c:pt idx="3">
                <c:v>-3.7513184851597101</c:v>
              </c:pt>
              <c:pt idx="4">
                <c:v>-3.7456091126033786</c:v>
              </c:pt>
              <c:pt idx="5">
                <c:v>-3.7377902586290985</c:v>
              </c:pt>
              <c:pt idx="6">
                <c:v>-3.7276014439375182</c:v>
              </c:pt>
              <c:pt idx="7">
                <c:v>-3.7147516008544463</c:v>
              </c:pt>
              <c:pt idx="8">
                <c:v>-3.6989155989247418</c:v>
              </c:pt>
              <c:pt idx="9">
                <c:v>-3.6797304479524238</c:v>
              </c:pt>
              <c:pt idx="10">
                <c:v>-3.6567911778075404</c:v>
              </c:pt>
              <c:pt idx="11">
                <c:v>-3.6296464070240311</c:v>
              </c:pt>
              <c:pt idx="12">
                <c:v>-3.5977936301001021</c:v>
              </c:pt>
              <c:pt idx="13">
                <c:v>-3.5606742779232401</c:v>
              </c:pt>
              <c:pt idx="14">
                <c:v>-3.517668638557927</c:v>
              </c:pt>
              <c:pt idx="15">
                <c:v>-3.4680907686435161</c:v>
              </c:pt>
              <c:pt idx="16">
                <c:v>-3.4406035633560976</c:v>
              </c:pt>
              <c:pt idx="17">
                <c:v>-3.4111835808515791</c:v>
              </c:pt>
              <c:pt idx="18">
                <c:v>-3.3797243325935047</c:v>
              </c:pt>
              <c:pt idx="19">
                <c:v>-3.3461143621710736</c:v>
              </c:pt>
              <c:pt idx="20">
                <c:v>-3.3102371536754234</c:v>
              </c:pt>
              <c:pt idx="21">
                <c:v>-3.2719710627580656</c:v>
              </c:pt>
              <c:pt idx="22">
                <c:v>-3.2311892749519693</c:v>
              </c:pt>
              <c:pt idx="23">
                <c:v>-3.1877597963437578</c:v>
              </c:pt>
              <c:pt idx="24">
                <c:v>-3.1415454822086812</c:v>
              </c:pt>
              <c:pt idx="25">
                <c:v>-3.0924041097491268</c:v>
              </c:pt>
              <c:pt idx="26">
                <c:v>-3.0401885016002286</c:v>
              </c:pt>
              <c:pt idx="27">
                <c:v>-2.9847467072668263</c:v>
              </c:pt>
              <c:pt idx="28">
                <c:v>-2.9259222501155961</c:v>
              </c:pt>
              <c:pt idx="29">
                <c:v>-2.8635544479409476</c:v>
              </c:pt>
              <c:pt idx="30">
                <c:v>-2.7974788154258228</c:v>
              </c:pt>
              <c:pt idx="31">
                <c:v>-2.7275275569962796</c:v>
              </c:pt>
              <c:pt idx="32">
                <c:v>-2.6535301585852245</c:v>
              </c:pt>
              <c:pt idx="33">
                <c:v>-2.575314086634803</c:v>
              </c:pt>
              <c:pt idx="34">
                <c:v>-2.4927056022343019</c:v>
              </c:pt>
              <c:pt idx="35">
                <c:v>-2.4055306975638757</c:v>
              </c:pt>
              <c:pt idx="36">
                <c:v>-2.313616160746133</c:v>
              </c:pt>
              <c:pt idx="37">
                <c:v>-2.216790773750446</c:v>
              </c:pt>
              <c:pt idx="38">
                <c:v>-2.1148866461057976</c:v>
              </c:pt>
              <c:pt idx="39">
                <c:v>-2.0077406848213544</c:v>
              </c:pt>
              <c:pt idx="40">
                <c:v>-1.8951961980647147</c:v>
              </c:pt>
              <c:pt idx="41">
                <c:v>-1.7771046267974688</c:v>
              </c:pt>
              <c:pt idx="42">
                <c:v>-1.6533273947279199</c:v>
              </c:pt>
              <c:pt idx="43">
                <c:v>-1.5237378626491505</c:v>
              </c:pt>
              <c:pt idx="44">
                <c:v>-1.388223368555124</c:v>
              </c:pt>
              <c:pt idx="45">
                <c:v>-1.2466873299709398</c:v>
              </c:pt>
              <c:pt idx="46">
                <c:v>-1.0990513798353114</c:v>
              </c:pt>
              <c:pt idx="47">
                <c:v>-0.94525750221214544</c:v>
              </c:pt>
              <c:pt idx="48">
                <c:v>-0.78527012929796181</c:v>
              </c:pt>
              <c:pt idx="49">
                <c:v>-0.61907815687851919</c:v>
              </c:pt>
              <c:pt idx="50">
                <c:v>-0.44669683184065456</c:v>
              </c:pt>
              <c:pt idx="51">
                <c:v>-0.26816946284299165</c:v>
              </c:pt>
              <c:pt idx="52">
                <c:v>-8.3568904066706209E-2</c:v>
              </c:pt>
              <c:pt idx="53">
                <c:v>0.10700123764518008</c:v>
              </c:pt>
              <c:pt idx="54">
                <c:v>0.30340571978893238</c:v>
              </c:pt>
              <c:pt idx="55">
                <c:v>0.5054771487943629</c:v>
              </c:pt>
            </c:numLit>
          </c:xVal>
          <c:yVal>
            <c:numLit>
              <c:formatCode>General</c:formatCode>
              <c:ptCount val="56"/>
              <c:pt idx="0">
                <c:v>2.0930000000000001E-2</c:v>
              </c:pt>
              <c:pt idx="1">
                <c:v>2.0838150344721491E-2</c:v>
              </c:pt>
              <c:pt idx="2">
                <c:v>2.0742509615122581E-2</c:v>
              </c:pt>
              <c:pt idx="3">
                <c:v>2.0642878308754005E-2</c:v>
              </c:pt>
              <c:pt idx="4">
                <c:v>2.0539046809061261E-2</c:v>
              </c:pt>
              <c:pt idx="5">
                <c:v>2.0430795350641542E-2</c:v>
              </c:pt>
              <c:pt idx="6">
                <c:v>2.0317894135552732E-2</c:v>
              </c:pt>
              <c:pt idx="7">
                <c:v>2.0200103644625281E-2</c:v>
              </c:pt>
              <c:pt idx="8">
                <c:v>2.0077175197246788E-2</c:v>
              </c:pt>
              <c:pt idx="9">
                <c:v>1.9948851824198272E-2</c:v>
              </c:pt>
              <c:pt idx="10">
                <c:v>1.9814869530917118E-2</c:v>
              </c:pt>
              <c:pt idx="11">
                <c:v>1.9674959043059544E-2</c:v>
              </c:pt>
              <c:pt idx="12">
                <c:v>1.9528848142313003E-2</c:v>
              </c:pt>
              <c:pt idx="13">
                <c:v>1.9376264717732728E-2</c:v>
              </c:pt>
              <c:pt idx="14">
                <c:v>1.921694067579767E-2</c:v>
              </c:pt>
              <c:pt idx="15">
                <c:v>1.905061686979987E-2</c:v>
              </c:pt>
              <c:pt idx="16">
                <c:v>1.8964752998040003E-2</c:v>
              </c:pt>
              <c:pt idx="17">
                <c:v>1.8877049224379265E-2</c:v>
              </c:pt>
              <c:pt idx="18">
                <c:v>1.8787478625185268E-2</c:v>
              </c:pt>
              <c:pt idx="19">
                <c:v>1.8696016241449256E-2</c:v>
              </c:pt>
              <c:pt idx="20">
                <c:v>1.8602639402078635E-2</c:v>
              </c:pt>
              <c:pt idx="21">
                <c:v>1.85073280758347E-2</c:v>
              </c:pt>
              <c:pt idx="22">
                <c:v>1.8410065253019303E-2</c:v>
              </c:pt>
              <c:pt idx="23">
                <c:v>1.8310837357796605E-2</c:v>
              </c:pt>
              <c:pt idx="24">
                <c:v>1.820963469175254E-2</c:v>
              </c:pt>
              <c:pt idx="25">
                <c:v>1.8106451908935582E-2</c:v>
              </c:pt>
              <c:pt idx="26">
                <c:v>1.8001288522178398E-2</c:v>
              </c:pt>
              <c:pt idx="27">
                <c:v>1.7894149439960622E-2</c:v>
              </c:pt>
              <c:pt idx="28">
                <c:v>1.7785045532430037E-2</c:v>
              </c:pt>
              <c:pt idx="29">
                <c:v>1.7673994224443108E-2</c:v>
              </c:pt>
              <c:pt idx="30">
                <c:v>1.7561020112610893E-2</c:v>
              </c:pt>
              <c:pt idx="31">
                <c:v>1.7446155602337338E-2</c:v>
              </c:pt>
              <c:pt idx="32">
                <c:v>1.7329441559713527E-2</c:v>
              </c:pt>
              <c:pt idx="33">
                <c:v>1.7210927971887027E-2</c:v>
              </c:pt>
              <c:pt idx="34">
                <c:v>1.7090674608169102E-2</c:v>
              </c:pt>
              <c:pt idx="35">
                <c:v>1.6968751672690126E-2</c:v>
              </c:pt>
              <c:pt idx="36">
                <c:v>1.6845240437890034E-2</c:v>
              </c:pt>
              <c:pt idx="37">
                <c:v>1.6720233846569021E-2</c:v>
              </c:pt>
              <c:pt idx="38">
                <c:v>1.6593837068668817E-2</c:v>
              </c:pt>
              <c:pt idx="39">
                <c:v>1.6466167997462634E-2</c:v>
              </c:pt>
              <c:pt idx="40">
                <c:v>1.6337357668468857E-2</c:v>
              </c:pt>
              <c:pt idx="41">
                <c:v>1.6207550583249328E-2</c:v>
              </c:pt>
              <c:pt idx="42">
                <c:v>1.6076904919395639E-2</c:v>
              </c:pt>
              <c:pt idx="43">
                <c:v>1.5945592607543146E-2</c:v>
              </c:pt>
              <c:pt idx="44">
                <c:v>1.5813799256283002E-2</c:v>
              </c:pt>
              <c:pt idx="45">
                <c:v>1.5681723906468353E-2</c:v>
              </c:pt>
              <c:pt idx="46">
                <c:v>1.5549578597725369E-2</c:v>
              </c:pt>
              <c:pt idx="47">
                <c:v>1.5417587732063727E-2</c:v>
              </c:pt>
              <c:pt idx="48">
                <c:v>1.5285987222392702E-2</c:v>
              </c:pt>
              <c:pt idx="49">
                <c:v>1.5155023417515526E-2</c:v>
              </c:pt>
              <c:pt idx="50">
                <c:v>1.5024951799785189E-2</c:v>
              </c:pt>
              <c:pt idx="51">
                <c:v>1.4896035457000568E-2</c:v>
              </c:pt>
              <c:pt idx="52">
                <c:v>1.4768543336192361E-2</c:v>
              </c:pt>
              <c:pt idx="53">
                <c:v>1.4642748293527812E-2</c:v>
              </c:pt>
              <c:pt idx="54">
                <c:v>1.4518924961431453E-2</c:v>
              </c:pt>
              <c:pt idx="55">
                <c:v>1.439734746090714E-2</c:v>
              </c:pt>
            </c:numLit>
          </c:yVal>
          <c:smooth val="1"/>
          <c:extLst>
            <c:ext xmlns:c16="http://schemas.microsoft.com/office/drawing/2014/chart" uri="{C3380CC4-5D6E-409C-BE32-E72D297353CC}">
              <c16:uniqueId val="{00000049-0D5B-4C62-B15F-F0F86E881C47}"/>
            </c:ext>
          </c:extLst>
        </c:ser>
        <c:ser>
          <c:idx val="66"/>
          <c:order val="66"/>
          <c:spPr>
            <a:ln w="3175">
              <a:solidFill>
                <a:srgbClr val="000000"/>
              </a:solidFill>
              <a:prstDash val="solid"/>
            </a:ln>
          </c:spPr>
          <c:marker>
            <c:symbol val="none"/>
          </c:marker>
          <c:xVal>
            <c:numLit>
              <c:formatCode>General</c:formatCode>
              <c:ptCount val="2"/>
              <c:pt idx="0">
                <c:v>-6.4780000000000006</c:v>
              </c:pt>
              <c:pt idx="1">
                <c:v>-5.878000000000001</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4A-0D5B-4C62-B15F-F0F86E881C47}"/>
            </c:ext>
          </c:extLst>
        </c:ser>
        <c:ser>
          <c:idx val="67"/>
          <c:order val="67"/>
          <c:spPr>
            <a:ln w="3175">
              <a:solidFill>
                <a:srgbClr val="000000"/>
              </a:solidFill>
              <a:prstDash val="solid"/>
            </a:ln>
          </c:spPr>
          <c:marker>
            <c:symbol val="none"/>
          </c:marker>
          <c:xVal>
            <c:numLit>
              <c:formatCode>General</c:formatCode>
              <c:ptCount val="2"/>
              <c:pt idx="0">
                <c:v>-6.4771548667567451</c:v>
              </c:pt>
              <c:pt idx="1">
                <c:v>-6.1771726249136609</c:v>
              </c:pt>
            </c:numLit>
          </c:xVal>
          <c:yVal>
            <c:numLit>
              <c:formatCode>General</c:formatCode>
              <c:ptCount val="2"/>
              <c:pt idx="0">
                <c:v>2.0816221982499338E-2</c:v>
              </c:pt>
              <c:pt idx="1">
                <c:v>2.0818636402393346E-2</c:v>
              </c:pt>
            </c:numLit>
          </c:yVal>
          <c:smooth val="0"/>
          <c:extLst>
            <c:ext xmlns:c16="http://schemas.microsoft.com/office/drawing/2014/chart" uri="{C3380CC4-5D6E-409C-BE32-E72D297353CC}">
              <c16:uniqueId val="{0000004B-0D5B-4C62-B15F-F0F86E881C47}"/>
            </c:ext>
          </c:extLst>
        </c:ser>
        <c:ser>
          <c:idx val="68"/>
          <c:order val="68"/>
          <c:spPr>
            <a:ln w="3175">
              <a:solidFill>
                <a:srgbClr val="000000"/>
              </a:solidFill>
              <a:prstDash val="solid"/>
            </a:ln>
          </c:spPr>
          <c:marker>
            <c:symbol val="none"/>
          </c:marker>
          <c:xVal>
            <c:numLit>
              <c:formatCode>General</c:formatCode>
              <c:ptCount val="2"/>
              <c:pt idx="0">
                <c:v>-6.4744781546020507</c:v>
              </c:pt>
              <c:pt idx="1">
                <c:v>-6.1745521569433741</c:v>
              </c:pt>
            </c:numLit>
          </c:xVal>
          <c:yVal>
            <c:numLit>
              <c:formatCode>General</c:formatCode>
              <c:ptCount val="2"/>
              <c:pt idx="0">
                <c:v>2.0697747630638599E-2</c:v>
              </c:pt>
              <c:pt idx="1">
                <c:v>2.0702676147209751E-2</c:v>
              </c:pt>
            </c:numLit>
          </c:yVal>
          <c:smooth val="0"/>
          <c:extLst>
            <c:ext xmlns:c16="http://schemas.microsoft.com/office/drawing/2014/chart" uri="{C3380CC4-5D6E-409C-BE32-E72D297353CC}">
              <c16:uniqueId val="{0000004C-0D5B-4C62-B15F-F0F86E881C47}"/>
            </c:ext>
          </c:extLst>
        </c:ser>
        <c:ser>
          <c:idx val="69"/>
          <c:order val="69"/>
          <c:spPr>
            <a:ln w="3175">
              <a:solidFill>
                <a:srgbClr val="000000"/>
              </a:solidFill>
              <a:prstDash val="solid"/>
            </a:ln>
          </c:spPr>
          <c:marker>
            <c:symbol val="none"/>
          </c:marker>
          <c:xVal>
            <c:numLit>
              <c:formatCode>General</c:formatCode>
              <c:ptCount val="2"/>
              <c:pt idx="0">
                <c:v>-6.4697392601020702</c:v>
              </c:pt>
              <c:pt idx="1">
                <c:v>-6.169912839625173</c:v>
              </c:pt>
            </c:numLit>
          </c:xVal>
          <c:yVal>
            <c:numLit>
              <c:formatCode>General</c:formatCode>
              <c:ptCount val="2"/>
              <c:pt idx="0">
                <c:v>2.0574329599127333E-2</c:v>
              </c:pt>
              <c:pt idx="1">
                <c:v>2.0581877160896857E-2</c:v>
              </c:pt>
            </c:numLit>
          </c:yVal>
          <c:smooth val="0"/>
          <c:extLst>
            <c:ext xmlns:c16="http://schemas.microsoft.com/office/drawing/2014/chart" uri="{C3380CC4-5D6E-409C-BE32-E72D297353CC}">
              <c16:uniqueId val="{0000004D-0D5B-4C62-B15F-F0F86E881C47}"/>
            </c:ext>
          </c:extLst>
        </c:ser>
        <c:ser>
          <c:idx val="70"/>
          <c:order val="70"/>
          <c:spPr>
            <a:ln w="3175">
              <a:solidFill>
                <a:srgbClr val="000000"/>
              </a:solidFill>
              <a:prstDash val="solid"/>
            </a:ln>
          </c:spPr>
          <c:marker>
            <c:symbol val="none"/>
          </c:marker>
          <c:xVal>
            <c:numLit>
              <c:formatCode>General</c:formatCode>
              <c:ptCount val="2"/>
              <c:pt idx="0">
                <c:v>-6.4626803906648105</c:v>
              </c:pt>
              <c:pt idx="1">
                <c:v>-6.163002300125668</c:v>
              </c:pt>
            </c:numLit>
          </c:xVal>
          <c:yVal>
            <c:numLit>
              <c:formatCode>General</c:formatCode>
              <c:ptCount val="2"/>
              <c:pt idx="0">
                <c:v>2.0445707961793541E-2</c:v>
              </c:pt>
              <c:pt idx="1">
                <c:v>2.0455985061604547E-2</c:v>
              </c:pt>
            </c:numLit>
          </c:yVal>
          <c:smooth val="0"/>
          <c:extLst>
            <c:ext xmlns:c16="http://schemas.microsoft.com/office/drawing/2014/chart" uri="{C3380CC4-5D6E-409C-BE32-E72D297353CC}">
              <c16:uniqueId val="{0000004E-0D5B-4C62-B15F-F0F86E881C47}"/>
            </c:ext>
          </c:extLst>
        </c:ser>
        <c:ser>
          <c:idx val="71"/>
          <c:order val="71"/>
          <c:spPr>
            <a:ln w="3175">
              <a:solidFill>
                <a:srgbClr val="000000"/>
              </a:solidFill>
              <a:prstDash val="solid"/>
            </a:ln>
          </c:spPr>
          <c:marker>
            <c:symbol val="none"/>
          </c:marker>
          <c:xVal>
            <c:numLit>
              <c:formatCode>General</c:formatCode>
              <c:ptCount val="2"/>
              <c:pt idx="0">
                <c:v>-6.4530133649286947</c:v>
              </c:pt>
              <c:pt idx="1">
                <c:v>-5.8540639178741065</c:v>
              </c:pt>
            </c:numLit>
          </c:xVal>
          <c:yVal>
            <c:numLit>
              <c:formatCode>General</c:formatCode>
              <c:ptCount val="2"/>
              <c:pt idx="0">
                <c:v>2.0311610158401223E-2</c:v>
              </c:pt>
              <c:pt idx="1">
                <c:v>2.033786162222339E-2</c:v>
              </c:pt>
            </c:numLit>
          </c:yVal>
          <c:smooth val="0"/>
          <c:extLst>
            <c:ext xmlns:c16="http://schemas.microsoft.com/office/drawing/2014/chart" uri="{C3380CC4-5D6E-409C-BE32-E72D297353CC}">
              <c16:uniqueId val="{0000004F-0D5B-4C62-B15F-F0F86E881C47}"/>
            </c:ext>
          </c:extLst>
        </c:ser>
        <c:ser>
          <c:idx val="72"/>
          <c:order val="72"/>
          <c:spPr>
            <a:ln w="3175">
              <a:solidFill>
                <a:srgbClr val="000000"/>
              </a:solidFill>
              <a:prstDash val="solid"/>
            </a:ln>
          </c:spPr>
          <c:marker>
            <c:symbol val="none"/>
          </c:marker>
          <c:xVal>
            <c:numLit>
              <c:formatCode>General</c:formatCode>
              <c:ptCount val="2"/>
              <c:pt idx="0">
                <c:v>-6.4404160659918741</c:v>
              </c:pt>
              <c:pt idx="1">
                <c:v>-6.1412058508383218</c:v>
              </c:pt>
            </c:numLit>
          </c:xVal>
          <c:yVal>
            <c:numLit>
              <c:formatCode>General</c:formatCode>
              <c:ptCount val="2"/>
              <c:pt idx="0">
                <c:v>2.0171751126828213E-2</c:v>
              </c:pt>
              <c:pt idx="1">
                <c:v>2.0187842331041393E-2</c:v>
              </c:pt>
            </c:numLit>
          </c:yVal>
          <c:smooth val="0"/>
          <c:extLst>
            <c:ext xmlns:c16="http://schemas.microsoft.com/office/drawing/2014/chart" uri="{C3380CC4-5D6E-409C-BE32-E72D297353CC}">
              <c16:uniqueId val="{00000050-0D5B-4C62-B15F-F0F86E881C47}"/>
            </c:ext>
          </c:extLst>
        </c:ser>
        <c:ser>
          <c:idx val="73"/>
          <c:order val="73"/>
          <c:spPr>
            <a:ln w="3175">
              <a:solidFill>
                <a:srgbClr val="000000"/>
              </a:solidFill>
              <a:prstDash val="solid"/>
            </a:ln>
          </c:spPr>
          <c:marker>
            <c:symbol val="none"/>
          </c:marker>
          <c:xVal>
            <c:numLit>
              <c:formatCode>General</c:formatCode>
              <c:ptCount val="2"/>
              <c:pt idx="0">
                <c:v>-6.4245285241259857</c:v>
              </c:pt>
              <c:pt idx="1">
                <c:v>-6.1256522059410843</c:v>
              </c:pt>
            </c:numLit>
          </c:xVal>
          <c:yVal>
            <c:numLit>
              <c:formatCode>General</c:formatCode>
              <c:ptCount val="2"/>
              <c:pt idx="0">
                <c:v>2.0025833674800028E-2</c:v>
              </c:pt>
              <c:pt idx="1">
                <c:v>2.0045021897082967E-2</c:v>
              </c:pt>
            </c:numLit>
          </c:yVal>
          <c:smooth val="0"/>
          <c:extLst>
            <c:ext xmlns:c16="http://schemas.microsoft.com/office/drawing/2014/chart" uri="{C3380CC4-5D6E-409C-BE32-E72D297353CC}">
              <c16:uniqueId val="{00000051-0D5B-4C62-B15F-F0F86E881C47}"/>
            </c:ext>
          </c:extLst>
        </c:ser>
        <c:ser>
          <c:idx val="74"/>
          <c:order val="74"/>
          <c:spPr>
            <a:ln w="3175">
              <a:solidFill>
                <a:srgbClr val="000000"/>
              </a:solidFill>
              <a:prstDash val="solid"/>
            </a:ln>
          </c:spPr>
          <c:marker>
            <c:symbol val="none"/>
          </c:marker>
          <c:xVal>
            <c:numLit>
              <c:formatCode>General</c:formatCode>
              <c:ptCount val="2"/>
              <c:pt idx="0">
                <c:v>-6.4049486097896127</c:v>
              </c:pt>
              <c:pt idx="1">
                <c:v>-6.1064838193638336</c:v>
              </c:pt>
            </c:numLit>
          </c:xVal>
          <c:yVal>
            <c:numLit>
              <c:formatCode>General</c:formatCode>
              <c:ptCount val="2"/>
              <c:pt idx="0">
                <c:v>1.9873549157153957E-2</c:v>
              </c:pt>
              <c:pt idx="1">
                <c:v>1.9895969774747002E-2</c:v>
              </c:pt>
            </c:numLit>
          </c:yVal>
          <c:smooth val="0"/>
          <c:extLst>
            <c:ext xmlns:c16="http://schemas.microsoft.com/office/drawing/2014/chart" uri="{C3380CC4-5D6E-409C-BE32-E72D297353CC}">
              <c16:uniqueId val="{00000052-0D5B-4C62-B15F-F0F86E881C47}"/>
            </c:ext>
          </c:extLst>
        </c:ser>
        <c:ser>
          <c:idx val="75"/>
          <c:order val="75"/>
          <c:spPr>
            <a:ln w="3175">
              <a:solidFill>
                <a:srgbClr val="000000"/>
              </a:solidFill>
              <a:prstDash val="solid"/>
            </a:ln>
          </c:spPr>
          <c:marker>
            <c:symbol val="none"/>
          </c:marker>
          <c:xVal>
            <c:numLit>
              <c:formatCode>General</c:formatCode>
              <c:ptCount val="2"/>
              <c:pt idx="0">
                <c:v>-6.3812273246822127</c:v>
              </c:pt>
              <c:pt idx="1">
                <c:v>-6.0832611503332013</c:v>
              </c:pt>
            </c:numLit>
          </c:xVal>
          <c:yVal>
            <c:numLit>
              <c:formatCode>General</c:formatCode>
              <c:ptCount val="2"/>
              <c:pt idx="0">
                <c:v>1.9714578538365699E-2</c:v>
              </c:pt>
              <c:pt idx="1">
                <c:v>1.9740373775798421E-2</c:v>
              </c:pt>
            </c:numLit>
          </c:yVal>
          <c:smooth val="0"/>
          <c:extLst>
            <c:ext xmlns:c16="http://schemas.microsoft.com/office/drawing/2014/chart" uri="{C3380CC4-5D6E-409C-BE32-E72D297353CC}">
              <c16:uniqueId val="{00000053-0D5B-4C62-B15F-F0F86E881C47}"/>
            </c:ext>
          </c:extLst>
        </c:ser>
        <c:ser>
          <c:idx val="76"/>
          <c:order val="76"/>
          <c:spPr>
            <a:ln w="3175">
              <a:solidFill>
                <a:srgbClr val="000000"/>
              </a:solidFill>
              <a:prstDash val="solid"/>
            </a:ln>
          </c:spPr>
          <c:marker>
            <c:symbol val="none"/>
          </c:marker>
          <c:xVal>
            <c:numLit>
              <c:formatCode>General</c:formatCode>
              <c:ptCount val="2"/>
              <c:pt idx="0">
                <c:v>-6.3528636892133203</c:v>
              </c:pt>
              <c:pt idx="1">
                <c:v>-5.7581260856691445</c:v>
              </c:pt>
            </c:numLit>
          </c:xVal>
          <c:yVal>
            <c:numLit>
              <c:formatCode>General</c:formatCode>
              <c:ptCount val="2"/>
              <c:pt idx="0">
                <c:v>1.9548593935935225E-2</c:v>
              </c:pt>
              <c:pt idx="1">
                <c:v>1.9607244455322151E-2</c:v>
              </c:pt>
            </c:numLit>
          </c:yVal>
          <c:smooth val="0"/>
          <c:extLst>
            <c:ext xmlns:c16="http://schemas.microsoft.com/office/drawing/2014/chart" uri="{C3380CC4-5D6E-409C-BE32-E72D297353CC}">
              <c16:uniqueId val="{00000054-0D5B-4C62-B15F-F0F86E881C47}"/>
            </c:ext>
          </c:extLst>
        </c:ser>
        <c:ser>
          <c:idx val="77"/>
          <c:order val="77"/>
          <c:spPr>
            <a:ln w="3175">
              <a:solidFill>
                <a:srgbClr val="000000"/>
              </a:solidFill>
              <a:prstDash val="solid"/>
            </a:ln>
          </c:spPr>
          <c:marker>
            <c:symbol val="none"/>
          </c:marker>
          <c:xVal>
            <c:numLit>
              <c:formatCode>General</c:formatCode>
              <c:ptCount val="2"/>
              <c:pt idx="0">
                <c:v>-6.3192992403036552</c:v>
              </c:pt>
              <c:pt idx="1">
                <c:v>-6.0226350152140311</c:v>
              </c:pt>
            </c:numLit>
          </c:xVal>
          <c:yVal>
            <c:numLit>
              <c:formatCode>General</c:formatCode>
              <c:ptCount val="2"/>
              <c:pt idx="0">
                <c:v>1.9375260758225134E-2</c:v>
              </c:pt>
              <c:pt idx="1">
                <c:v>1.94082602718086E-2</c:v>
              </c:pt>
            </c:numLit>
          </c:yVal>
          <c:smooth val="0"/>
          <c:extLst>
            <c:ext xmlns:c16="http://schemas.microsoft.com/office/drawing/2014/chart" uri="{C3380CC4-5D6E-409C-BE32-E72D297353CC}">
              <c16:uniqueId val="{00000055-0D5B-4C62-B15F-F0F86E881C47}"/>
            </c:ext>
          </c:extLst>
        </c:ser>
        <c:ser>
          <c:idx val="78"/>
          <c:order val="78"/>
          <c:spPr>
            <a:ln w="3175">
              <a:solidFill>
                <a:srgbClr val="000000"/>
              </a:solidFill>
              <a:prstDash val="solid"/>
            </a:ln>
          </c:spPr>
          <c:marker>
            <c:symbol val="none"/>
          </c:marker>
          <c:xVal>
            <c:numLit>
              <c:formatCode>General</c:formatCode>
              <c:ptCount val="2"/>
              <c:pt idx="0">
                <c:v>-6.2799121753649985</c:v>
              </c:pt>
              <c:pt idx="1">
                <c:v>-5.9840761830536753</c:v>
              </c:pt>
            </c:numLit>
          </c:xVal>
          <c:yVal>
            <c:numLit>
              <c:formatCode>General</c:formatCode>
              <c:ptCount val="2"/>
              <c:pt idx="0">
                <c:v>1.9194240570334139E-2</c:v>
              </c:pt>
              <c:pt idx="1">
                <c:v>1.9231084265235985E-2</c:v>
              </c:pt>
            </c:numLit>
          </c:yVal>
          <c:smooth val="0"/>
          <c:extLst>
            <c:ext xmlns:c16="http://schemas.microsoft.com/office/drawing/2014/chart" uri="{C3380CC4-5D6E-409C-BE32-E72D297353CC}">
              <c16:uniqueId val="{00000056-0D5B-4C62-B15F-F0F86E881C47}"/>
            </c:ext>
          </c:extLst>
        </c:ser>
        <c:ser>
          <c:idx val="79"/>
          <c:order val="79"/>
          <c:spPr>
            <a:ln w="3175">
              <a:solidFill>
                <a:srgbClr val="000000"/>
              </a:solidFill>
              <a:prstDash val="solid"/>
            </a:ln>
          </c:spPr>
          <c:marker>
            <c:symbol val="none"/>
          </c:marker>
          <c:xVal>
            <c:numLit>
              <c:formatCode>General</c:formatCode>
              <c:ptCount val="2"/>
              <c:pt idx="0">
                <c:v>-6.2340112084088908</c:v>
              </c:pt>
              <c:pt idx="1">
                <c:v>-5.9391405956743277</c:v>
              </c:pt>
            </c:numLit>
          </c:xVal>
          <c:yVal>
            <c:numLit>
              <c:formatCode>General</c:formatCode>
              <c:ptCount val="2"/>
              <c:pt idx="0">
                <c:v>1.900519484317249E-2</c:v>
              </c:pt>
              <c:pt idx="1">
                <c:v>1.9046053859856433E-2</c:v>
              </c:pt>
            </c:numLit>
          </c:yVal>
          <c:smooth val="0"/>
          <c:extLst>
            <c:ext xmlns:c16="http://schemas.microsoft.com/office/drawing/2014/chart" uri="{C3380CC4-5D6E-409C-BE32-E72D297353CC}">
              <c16:uniqueId val="{00000057-0D5B-4C62-B15F-F0F86E881C47}"/>
            </c:ext>
          </c:extLst>
        </c:ser>
        <c:ser>
          <c:idx val="80"/>
          <c:order val="80"/>
          <c:spPr>
            <a:ln w="3175">
              <a:solidFill>
                <a:srgbClr val="000000"/>
              </a:solidFill>
              <a:prstDash val="solid"/>
            </a:ln>
          </c:spPr>
          <c:marker>
            <c:symbol val="none"/>
          </c:marker>
          <c:xVal>
            <c:numLit>
              <c:formatCode>General</c:formatCode>
              <c:ptCount val="2"/>
              <c:pt idx="0">
                <c:v>-6.1808292446003525</c:v>
              </c:pt>
              <c:pt idx="1">
                <c:v>-5.8870773748687428</c:v>
              </c:pt>
            </c:numLit>
          </c:xVal>
          <c:yVal>
            <c:numLit>
              <c:formatCode>General</c:formatCode>
              <c:ptCount val="2"/>
              <c:pt idx="0">
                <c:v>1.8807789763299193E-2</c:v>
              </c:pt>
              <c:pt idx="1">
                <c:v>1.885284251062827E-2</c:v>
              </c:pt>
            </c:numLit>
          </c:yVal>
          <c:smooth val="0"/>
          <c:extLst>
            <c:ext xmlns:c16="http://schemas.microsoft.com/office/drawing/2014/chart" uri="{C3380CC4-5D6E-409C-BE32-E72D297353CC}">
              <c16:uniqueId val="{00000058-0D5B-4C62-B15F-F0F86E881C47}"/>
            </c:ext>
          </c:extLst>
        </c:ser>
        <c:ser>
          <c:idx val="81"/>
          <c:order val="81"/>
          <c:spPr>
            <a:ln w="3175">
              <a:solidFill>
                <a:srgbClr val="000000"/>
              </a:solidFill>
              <a:prstDash val="solid"/>
            </a:ln>
          </c:spPr>
          <c:marker>
            <c:symbol val="none"/>
          </c:marker>
          <c:xVal>
            <c:numLit>
              <c:formatCode>General</c:formatCode>
              <c:ptCount val="2"/>
              <c:pt idx="0">
                <c:v>-6.1195170325550308</c:v>
              </c:pt>
              <c:pt idx="1">
                <c:v>-5.534599652818355</c:v>
              </c:pt>
            </c:numLit>
          </c:xVal>
          <c:yVal>
            <c:numLit>
              <c:formatCode>General</c:formatCode>
              <c:ptCount val="2"/>
              <c:pt idx="0">
                <c:v>1.86017023029456E-2</c:v>
              </c:pt>
              <c:pt idx="1">
                <c:v>1.8700586194654339E-2</c:v>
              </c:pt>
            </c:numLit>
          </c:yVal>
          <c:smooth val="0"/>
          <c:extLst>
            <c:ext xmlns:c16="http://schemas.microsoft.com/office/drawing/2014/chart" uri="{C3380CC4-5D6E-409C-BE32-E72D297353CC}">
              <c16:uniqueId val="{00000059-0D5B-4C62-B15F-F0F86E881C47}"/>
            </c:ext>
          </c:extLst>
        </c:ser>
        <c:ser>
          <c:idx val="82"/>
          <c:order val="82"/>
          <c:spPr>
            <a:ln w="3175">
              <a:solidFill>
                <a:srgbClr val="000000"/>
              </a:solidFill>
              <a:prstDash val="solid"/>
            </a:ln>
          </c:spPr>
          <c:marker>
            <c:symbol val="none"/>
          </c:marker>
          <c:xVal>
            <c:numLit>
              <c:formatCode>General</c:formatCode>
              <c:ptCount val="2"/>
              <c:pt idx="0">
                <c:v>-6.085522707107951</c:v>
              </c:pt>
              <c:pt idx="1">
                <c:v>-5.7937763361296684</c:v>
              </c:pt>
            </c:numLit>
          </c:xVal>
          <c:yVal>
            <c:numLit>
              <c:formatCode>General</c:formatCode>
              <c:ptCount val="2"/>
              <c:pt idx="0">
                <c:v>1.8495306506800622E-2</c:v>
              </c:pt>
              <c:pt idx="1">
                <c:v>1.8546999744218709E-2</c:v>
              </c:pt>
            </c:numLit>
          </c:yVal>
          <c:smooth val="0"/>
          <c:extLst>
            <c:ext xmlns:c16="http://schemas.microsoft.com/office/drawing/2014/chart" uri="{C3380CC4-5D6E-409C-BE32-E72D297353CC}">
              <c16:uniqueId val="{0000005A-0D5B-4C62-B15F-F0F86E881C47}"/>
            </c:ext>
          </c:extLst>
        </c:ser>
        <c:ser>
          <c:idx val="83"/>
          <c:order val="83"/>
          <c:spPr>
            <a:ln w="3175">
              <a:solidFill>
                <a:srgbClr val="000000"/>
              </a:solidFill>
              <a:prstDash val="solid"/>
            </a:ln>
          </c:spPr>
          <c:marker>
            <c:symbol val="none"/>
          </c:marker>
          <c:xVal>
            <c:numLit>
              <c:formatCode>General</c:formatCode>
              <c:ptCount val="2"/>
              <c:pt idx="0">
                <c:v>-6.0491370217777725</c:v>
              </c:pt>
              <c:pt idx="1">
                <c:v>-5.7581565088975415</c:v>
              </c:pt>
            </c:numLit>
          </c:xVal>
          <c:yVal>
            <c:numLit>
              <c:formatCode>General</c:formatCode>
              <c:ptCount val="2"/>
              <c:pt idx="0">
                <c:v>1.8386627768883546E-2</c:v>
              </c:pt>
              <c:pt idx="1">
                <c:v>1.8440631137357402E-2</c:v>
              </c:pt>
            </c:numLit>
          </c:yVal>
          <c:smooth val="0"/>
          <c:extLst>
            <c:ext xmlns:c16="http://schemas.microsoft.com/office/drawing/2014/chart" uri="{C3380CC4-5D6E-409C-BE32-E72D297353CC}">
              <c16:uniqueId val="{0000005B-0D5B-4C62-B15F-F0F86E881C47}"/>
            </c:ext>
          </c:extLst>
        </c:ser>
        <c:ser>
          <c:idx val="84"/>
          <c:order val="84"/>
          <c:spPr>
            <a:ln w="3175">
              <a:solidFill>
                <a:srgbClr val="000000"/>
              </a:solidFill>
              <a:prstDash val="solid"/>
            </a:ln>
          </c:spPr>
          <c:marker>
            <c:symbol val="none"/>
          </c:marker>
          <c:xVal>
            <c:numLit>
              <c:formatCode>General</c:formatCode>
              <c:ptCount val="2"/>
              <c:pt idx="0">
                <c:v>-6.0102280619194612</c:v>
              </c:pt>
              <c:pt idx="1">
                <c:v>-5.7200666445882398</c:v>
              </c:pt>
            </c:numLit>
          </c:xVal>
          <c:yVal>
            <c:numLit>
              <c:formatCode>General</c:formatCode>
              <c:ptCount val="2"/>
              <c:pt idx="0">
                <c:v>1.8275632385817388E-2</c:v>
              </c:pt>
              <c:pt idx="1">
                <c:v>1.8331995490505258E-2</c:v>
              </c:pt>
            </c:numLit>
          </c:yVal>
          <c:smooth val="0"/>
          <c:extLst>
            <c:ext xmlns:c16="http://schemas.microsoft.com/office/drawing/2014/chart" uri="{C3380CC4-5D6E-409C-BE32-E72D297353CC}">
              <c16:uniqueId val="{0000005C-0D5B-4C62-B15F-F0F86E881C47}"/>
            </c:ext>
          </c:extLst>
        </c:ser>
        <c:ser>
          <c:idx val="85"/>
          <c:order val="85"/>
          <c:spPr>
            <a:ln w="3175">
              <a:solidFill>
                <a:srgbClr val="000000"/>
              </a:solidFill>
              <a:prstDash val="solid"/>
            </a:ln>
          </c:spPr>
          <c:marker>
            <c:symbol val="none"/>
          </c:marker>
          <c:xVal>
            <c:numLit>
              <c:formatCode>General</c:formatCode>
              <c:ptCount val="2"/>
              <c:pt idx="0">
                <c:v>-5.9686577382838752</c:v>
              </c:pt>
              <c:pt idx="1">
                <c:v>-5.6793715867435788</c:v>
              </c:pt>
            </c:numLit>
          </c:xVal>
          <c:yVal>
            <c:numLit>
              <c:formatCode>General</c:formatCode>
              <c:ptCount val="2"/>
              <c:pt idx="0">
                <c:v>1.8162289062279902E-2</c:v>
              </c:pt>
              <c:pt idx="1">
                <c:v>1.8221062213132893E-2</c:v>
              </c:pt>
            </c:numLit>
          </c:yVal>
          <c:smooth val="0"/>
          <c:extLst>
            <c:ext xmlns:c16="http://schemas.microsoft.com/office/drawing/2014/chart" uri="{C3380CC4-5D6E-409C-BE32-E72D297353CC}">
              <c16:uniqueId val="{0000005D-0D5B-4C62-B15F-F0F86E881C47}"/>
            </c:ext>
          </c:extLst>
        </c:ser>
        <c:ser>
          <c:idx val="86"/>
          <c:order val="86"/>
          <c:spPr>
            <a:ln w="3175">
              <a:solidFill>
                <a:srgbClr val="000000"/>
              </a:solidFill>
              <a:prstDash val="solid"/>
            </a:ln>
          </c:spPr>
          <c:marker>
            <c:symbol val="none"/>
          </c:marker>
          <c:xVal>
            <c:numLit>
              <c:formatCode>General</c:formatCode>
              <c:ptCount val="2"/>
              <c:pt idx="0">
                <c:v>-5.9242816702136096</c:v>
              </c:pt>
              <c:pt idx="1">
                <c:v>-5.3475877573340735</c:v>
              </c:pt>
            </c:numLit>
          </c:xVal>
          <c:yVal>
            <c:numLit>
              <c:formatCode>General</c:formatCode>
              <c:ptCount val="2"/>
              <c:pt idx="0">
                <c:v>1.8046569310441331E-2</c:v>
              </c:pt>
              <c:pt idx="1">
                <c:v>1.8169061664199238E-2</c:v>
              </c:pt>
            </c:numLit>
          </c:yVal>
          <c:smooth val="0"/>
          <c:extLst>
            <c:ext xmlns:c16="http://schemas.microsoft.com/office/drawing/2014/chart" uri="{C3380CC4-5D6E-409C-BE32-E72D297353CC}">
              <c16:uniqueId val="{0000005E-0D5B-4C62-B15F-F0F86E881C47}"/>
            </c:ext>
          </c:extLst>
        </c:ser>
        <c:ser>
          <c:idx val="87"/>
          <c:order val="87"/>
          <c:spPr>
            <a:ln w="3175">
              <a:solidFill>
                <a:srgbClr val="000000"/>
              </a:solidFill>
              <a:prstDash val="solid"/>
            </a:ln>
          </c:spPr>
          <c:marker>
            <c:symbol val="none"/>
          </c:marker>
          <c:xVal>
            <c:numLit>
              <c:formatCode>General</c:formatCode>
              <c:ptCount val="2"/>
              <c:pt idx="0">
                <c:v>-5.8769490965930213</c:v>
              </c:pt>
              <c:pt idx="1">
                <c:v>-5.5895944012428798</c:v>
              </c:pt>
            </c:numLit>
          </c:xVal>
          <c:yVal>
            <c:numLit>
              <c:formatCode>General</c:formatCode>
              <c:ptCount val="2"/>
              <c:pt idx="0">
                <c:v>1.7928447884993152E-2</c:v>
              </c:pt>
              <c:pt idx="1">
                <c:v>1.7992194584566659E-2</c:v>
              </c:pt>
            </c:numLit>
          </c:yVal>
          <c:smooth val="0"/>
          <c:extLst>
            <c:ext xmlns:c16="http://schemas.microsoft.com/office/drawing/2014/chart" uri="{C3380CC4-5D6E-409C-BE32-E72D297353CC}">
              <c16:uniqueId val="{0000005F-0D5B-4C62-B15F-F0F86E881C47}"/>
            </c:ext>
          </c:extLst>
        </c:ser>
        <c:ser>
          <c:idx val="88"/>
          <c:order val="88"/>
          <c:spPr>
            <a:ln w="3175">
              <a:solidFill>
                <a:srgbClr val="000000"/>
              </a:solidFill>
              <a:prstDash val="solid"/>
            </a:ln>
          </c:spPr>
          <c:marker>
            <c:symbol val="none"/>
          </c:marker>
          <c:xVal>
            <c:numLit>
              <c:formatCode>General</c:formatCode>
              <c:ptCount val="2"/>
              <c:pt idx="0">
                <c:v>-5.8265028202105924</c:v>
              </c:pt>
              <c:pt idx="1">
                <c:v>-5.5402108697385151</c:v>
              </c:pt>
            </c:numLit>
          </c:xVal>
          <c:yVal>
            <c:numLit>
              <c:formatCode>General</c:formatCode>
              <c:ptCount val="2"/>
              <c:pt idx="0">
                <c:v>1.780790325517077E-2</c:v>
              </c:pt>
              <c:pt idx="1">
                <c:v>1.7874214546059516E-2</c:v>
              </c:pt>
            </c:numLit>
          </c:yVal>
          <c:smooth val="0"/>
          <c:extLst>
            <c:ext xmlns:c16="http://schemas.microsoft.com/office/drawing/2014/chart" uri="{C3380CC4-5D6E-409C-BE32-E72D297353CC}">
              <c16:uniqueId val="{00000060-0D5B-4C62-B15F-F0F86E881C47}"/>
            </c:ext>
          </c:extLst>
        </c:ser>
        <c:ser>
          <c:idx val="89"/>
          <c:order val="89"/>
          <c:spPr>
            <a:ln w="3175">
              <a:solidFill>
                <a:srgbClr val="000000"/>
              </a:solidFill>
              <a:prstDash val="solid"/>
            </a:ln>
          </c:spPr>
          <c:marker>
            <c:symbol val="none"/>
          </c:marker>
          <c:xVal>
            <c:numLit>
              <c:formatCode>General</c:formatCode>
              <c:ptCount val="2"/>
              <c:pt idx="0">
                <c:v>-5.7727791918245215</c:v>
              </c:pt>
              <c:pt idx="1">
                <c:v>-5.4876192678528364</c:v>
              </c:pt>
            </c:numLit>
          </c:xVal>
          <c:yVal>
            <c:numLit>
              <c:formatCode>General</c:formatCode>
              <c:ptCount val="2"/>
              <c:pt idx="0">
                <c:v>1.7684918114909066E-2</c:v>
              </c:pt>
              <c:pt idx="1">
                <c:v>1.7753846463893632E-2</c:v>
              </c:pt>
            </c:numLit>
          </c:yVal>
          <c:smooth val="0"/>
          <c:extLst>
            <c:ext xmlns:c16="http://schemas.microsoft.com/office/drawing/2014/chart" uri="{C3380CC4-5D6E-409C-BE32-E72D297353CC}">
              <c16:uniqueId val="{00000061-0D5B-4C62-B15F-F0F86E881C47}"/>
            </c:ext>
          </c:extLst>
        </c:ser>
        <c:ser>
          <c:idx val="90"/>
          <c:order val="90"/>
          <c:spPr>
            <a:ln w="3175">
              <a:solidFill>
                <a:srgbClr val="000000"/>
              </a:solidFill>
              <a:prstDash val="solid"/>
            </a:ln>
          </c:spPr>
          <c:marker>
            <c:symbol val="none"/>
          </c:marker>
          <c:xVal>
            <c:numLit>
              <c:formatCode>General</c:formatCode>
              <c:ptCount val="2"/>
              <c:pt idx="0">
                <c:v>-5.7156081408752861</c:v>
              </c:pt>
              <c:pt idx="1">
                <c:v>-5.4316531537037873</c:v>
              </c:pt>
            </c:numLit>
          </c:xVal>
          <c:yVal>
            <c:numLit>
              <c:formatCode>General</c:formatCode>
              <c:ptCount val="2"/>
              <c:pt idx="0">
                <c:v>1.7559479931924228E-2</c:v>
              </c:pt>
              <c:pt idx="1">
                <c:v>1.7631078127631022E-2</c:v>
              </c:pt>
            </c:numLit>
          </c:yVal>
          <c:smooth val="0"/>
          <c:extLst>
            <c:ext xmlns:c16="http://schemas.microsoft.com/office/drawing/2014/chart" uri="{C3380CC4-5D6E-409C-BE32-E72D297353CC}">
              <c16:uniqueId val="{00000062-0D5B-4C62-B15F-F0F86E881C47}"/>
            </c:ext>
          </c:extLst>
        </c:ser>
        <c:ser>
          <c:idx val="91"/>
          <c:order val="91"/>
          <c:spPr>
            <a:ln w="3175">
              <a:solidFill>
                <a:srgbClr val="000000"/>
              </a:solidFill>
              <a:prstDash val="solid"/>
            </a:ln>
          </c:spPr>
          <c:marker>
            <c:symbol val="none"/>
          </c:marker>
          <c:xVal>
            <c:numLit>
              <c:formatCode>General</c:formatCode>
              <c:ptCount val="2"/>
              <c:pt idx="0">
                <c:v>-5.6548132604507</c:v>
              </c:pt>
              <c:pt idx="1">
                <c:v>-5.0894800551960175</c:v>
              </c:pt>
            </c:numLit>
          </c:xVal>
          <c:yVal>
            <c:numLit>
              <c:formatCode>General</c:formatCode>
              <c:ptCount val="2"/>
              <c:pt idx="0">
                <c:v>1.7431581536076757E-2</c:v>
              </c:pt>
              <c:pt idx="1">
                <c:v>1.7580251649321022E-2</c:v>
              </c:pt>
            </c:numLit>
          </c:yVal>
          <c:smooth val="0"/>
          <c:extLst>
            <c:ext xmlns:c16="http://schemas.microsoft.com/office/drawing/2014/chart" uri="{C3380CC4-5D6E-409C-BE32-E72D297353CC}">
              <c16:uniqueId val="{00000063-0D5B-4C62-B15F-F0F86E881C47}"/>
            </c:ext>
          </c:extLst>
        </c:ser>
        <c:ser>
          <c:idx val="92"/>
          <c:order val="92"/>
          <c:spPr>
            <a:ln w="3175">
              <a:solidFill>
                <a:srgbClr val="000000"/>
              </a:solidFill>
              <a:prstDash val="solid"/>
            </a:ln>
          </c:spPr>
          <c:marker>
            <c:symbol val="none"/>
          </c:marker>
          <c:xVal>
            <c:numLit>
              <c:formatCode>General</c:formatCode>
              <c:ptCount val="2"/>
              <c:pt idx="0">
                <c:v>-5.5902119547643538</c:v>
              </c:pt>
              <c:pt idx="1">
                <c:v>-5.3089007812936524</c:v>
              </c:pt>
            </c:numLit>
          </c:xVal>
          <c:yVal>
            <c:numLit>
              <c:formatCode>General</c:formatCode>
              <c:ptCount val="2"/>
              <c:pt idx="0">
                <c:v>1.730122174682644E-2</c:v>
              </c:pt>
              <c:pt idx="1">
                <c:v>1.7378318722868574E-2</c:v>
              </c:pt>
            </c:numLit>
          </c:yVal>
          <c:smooth val="0"/>
          <c:extLst>
            <c:ext xmlns:c16="http://schemas.microsoft.com/office/drawing/2014/chart" uri="{C3380CC4-5D6E-409C-BE32-E72D297353CC}">
              <c16:uniqueId val="{00000064-0D5B-4C62-B15F-F0F86E881C47}"/>
            </c:ext>
          </c:extLst>
        </c:ser>
        <c:ser>
          <c:idx val="93"/>
          <c:order val="93"/>
          <c:spPr>
            <a:ln w="3175">
              <a:solidFill>
                <a:srgbClr val="000000"/>
              </a:solidFill>
              <a:prstDash val="solid"/>
            </a:ln>
          </c:spPr>
          <c:marker>
            <c:symbol val="none"/>
          </c:marker>
          <c:xVal>
            <c:numLit>
              <c:formatCode>General</c:formatCode>
              <c:ptCount val="2"/>
              <c:pt idx="0">
                <c:v>-5.5216156580385984</c:v>
              </c:pt>
              <c:pt idx="1">
                <c:v>-5.2417513042334738</c:v>
              </c:pt>
            </c:numLit>
          </c:xVal>
          <c:yVal>
            <c:numLit>
              <c:formatCode>General</c:formatCode>
              <c:ptCount val="2"/>
              <c:pt idx="0">
                <c:v>1.7168406038928632E-2</c:v>
              </c:pt>
              <c:pt idx="1">
                <c:v>1.7248331985026011E-2</c:v>
              </c:pt>
            </c:numLit>
          </c:yVal>
          <c:smooth val="0"/>
          <c:extLst>
            <c:ext xmlns:c16="http://schemas.microsoft.com/office/drawing/2014/chart" uri="{C3380CC4-5D6E-409C-BE32-E72D297353CC}">
              <c16:uniqueId val="{00000065-0D5B-4C62-B15F-F0F86E881C47}"/>
            </c:ext>
          </c:extLst>
        </c:ser>
        <c:ser>
          <c:idx val="94"/>
          <c:order val="94"/>
          <c:spPr>
            <a:ln w="3175">
              <a:solidFill>
                <a:srgbClr val="000000"/>
              </a:solidFill>
              <a:prstDash val="solid"/>
            </a:ln>
          </c:spPr>
          <c:marker>
            <c:symbol val="none"/>
          </c:marker>
          <c:xVal>
            <c:numLit>
              <c:formatCode>General</c:formatCode>
              <c:ptCount val="2"/>
              <c:pt idx="0">
                <c:v>-5.4488301342643446</c:v>
              </c:pt>
              <c:pt idx="1">
                <c:v>-5.1705013862512814</c:v>
              </c:pt>
            </c:numLit>
          </c:xVal>
          <c:yVal>
            <c:numLit>
              <c:formatCode>General</c:formatCode>
              <c:ptCount val="2"/>
              <c:pt idx="0">
                <c:v>1.7033147244730054E-2</c:v>
              </c:pt>
              <c:pt idx="1">
                <c:v>1.7115954993172641E-2</c:v>
              </c:pt>
            </c:numLit>
          </c:yVal>
          <c:smooth val="0"/>
          <c:extLst>
            <c:ext xmlns:c16="http://schemas.microsoft.com/office/drawing/2014/chart" uri="{C3380CC4-5D6E-409C-BE32-E72D297353CC}">
              <c16:uniqueId val="{00000066-0D5B-4C62-B15F-F0F86E881C47}"/>
            </c:ext>
          </c:extLst>
        </c:ser>
        <c:ser>
          <c:idx val="95"/>
          <c:order val="95"/>
          <c:spPr>
            <a:ln w="3175">
              <a:solidFill>
                <a:srgbClr val="000000"/>
              </a:solidFill>
              <a:prstDash val="solid"/>
            </a:ln>
          </c:spPr>
          <c:marker>
            <c:symbol val="none"/>
          </c:marker>
          <c:xVal>
            <c:numLit>
              <c:formatCode>General</c:formatCode>
              <c:ptCount val="2"/>
              <c:pt idx="0">
                <c:v>-5.3716558678134341</c:v>
              </c:pt>
              <c:pt idx="1">
                <c:v>-5.0949557962763974</c:v>
              </c:pt>
            </c:numLit>
          </c:xVal>
          <c:yVal>
            <c:numLit>
              <c:formatCode>General</c:formatCode>
              <c:ptCount val="2"/>
              <c:pt idx="0">
                <c:v>1.6895466290491552E-2</c:v>
              </c:pt>
              <c:pt idx="1">
                <c:v>1.6981208300576808E-2</c:v>
              </c:pt>
            </c:numLit>
          </c:yVal>
          <c:smooth val="0"/>
          <c:extLst>
            <c:ext xmlns:c16="http://schemas.microsoft.com/office/drawing/2014/chart" uri="{C3380CC4-5D6E-409C-BE32-E72D297353CC}">
              <c16:uniqueId val="{00000067-0D5B-4C62-B15F-F0F86E881C47}"/>
            </c:ext>
          </c:extLst>
        </c:ser>
        <c:ser>
          <c:idx val="96"/>
          <c:order val="96"/>
          <c:spPr>
            <a:ln w="3175">
              <a:solidFill>
                <a:srgbClr val="000000"/>
              </a:solidFill>
              <a:prstDash val="solid"/>
            </a:ln>
          </c:spPr>
          <c:marker>
            <c:symbol val="none"/>
          </c:marker>
          <c:xVal>
            <c:numLit>
              <c:formatCode>General</c:formatCode>
              <c:ptCount val="2"/>
              <c:pt idx="0">
                <c:v>-5.2898885552707755</c:v>
              </c:pt>
              <c:pt idx="1">
                <c:v>-4.7399594524317035</c:v>
              </c:pt>
            </c:numLit>
          </c:xVal>
          <c:yVal>
            <c:numLit>
              <c:formatCode>General</c:formatCode>
              <c:ptCount val="2"/>
              <c:pt idx="0">
                <c:v>1.6755392963085362E-2</c:v>
              </c:pt>
              <c:pt idx="1">
                <c:v>1.6932880948920096E-2</c:v>
              </c:pt>
            </c:numLit>
          </c:yVal>
          <c:smooth val="0"/>
          <c:extLst>
            <c:ext xmlns:c16="http://schemas.microsoft.com/office/drawing/2014/chart" uri="{C3380CC4-5D6E-409C-BE32-E72D297353CC}">
              <c16:uniqueId val="{00000068-0D5B-4C62-B15F-F0F86E881C47}"/>
            </c:ext>
          </c:extLst>
        </c:ser>
        <c:ser>
          <c:idx val="97"/>
          <c:order val="97"/>
          <c:spPr>
            <a:ln w="3175">
              <a:solidFill>
                <a:srgbClr val="000000"/>
              </a:solidFill>
              <a:prstDash val="solid"/>
            </a:ln>
          </c:spPr>
          <c:marker>
            <c:symbol val="none"/>
          </c:marker>
          <c:xVal>
            <c:numLit>
              <c:formatCode>General</c:formatCode>
              <c:ptCount val="2"/>
              <c:pt idx="0">
                <c:v>-5.2033197090931331</c:v>
              </c:pt>
              <c:pt idx="1">
                <c:v>-4.930173878055025</c:v>
              </c:pt>
            </c:numLit>
          </c:xVal>
          <c:yVal>
            <c:numLit>
              <c:formatCode>General</c:formatCode>
              <c:ptCount val="2"/>
              <c:pt idx="0">
                <c:v>1.6612966702180775E-2</c:v>
              </c:pt>
              <c:pt idx="1">
                <c:v>1.6704732176865585E-2</c:v>
              </c:pt>
            </c:numLit>
          </c:yVal>
          <c:smooth val="0"/>
          <c:extLst>
            <c:ext xmlns:c16="http://schemas.microsoft.com/office/drawing/2014/chart" uri="{C3380CC4-5D6E-409C-BE32-E72D297353CC}">
              <c16:uniqueId val="{00000069-0D5B-4C62-B15F-F0F86E881C47}"/>
            </c:ext>
          </c:extLst>
        </c:ser>
        <c:ser>
          <c:idx val="98"/>
          <c:order val="98"/>
          <c:spPr>
            <a:ln w="3175">
              <a:solidFill>
                <a:srgbClr val="000000"/>
              </a:solidFill>
              <a:prstDash val="solid"/>
            </a:ln>
          </c:spPr>
          <c:marker>
            <c:symbol val="none"/>
          </c:marker>
          <c:xVal>
            <c:numLit>
              <c:formatCode>General</c:formatCode>
              <c:ptCount val="2"/>
              <c:pt idx="0">
                <c:v>-5.1117373837437654</c:v>
              </c:pt>
              <c:pt idx="1">
                <c:v>-4.8405261843098577</c:v>
              </c:pt>
            </c:numLit>
          </c:xVal>
          <c:yVal>
            <c:numLit>
              <c:formatCode>General</c:formatCode>
              <c:ptCount val="2"/>
              <c:pt idx="0">
                <c:v>1.6468237411641461E-2</c:v>
              </c:pt>
              <c:pt idx="1">
                <c:v>1.6563090346779514E-2</c:v>
              </c:pt>
            </c:numLit>
          </c:yVal>
          <c:smooth val="0"/>
          <c:extLst>
            <c:ext xmlns:c16="http://schemas.microsoft.com/office/drawing/2014/chart" uri="{C3380CC4-5D6E-409C-BE32-E72D297353CC}">
              <c16:uniqueId val="{0000006A-0D5B-4C62-B15F-F0F86E881C47}"/>
            </c:ext>
          </c:extLst>
        </c:ser>
        <c:ser>
          <c:idx val="99"/>
          <c:order val="99"/>
          <c:spPr>
            <a:ln w="3175">
              <a:solidFill>
                <a:srgbClr val="000000"/>
              </a:solidFill>
              <a:prstDash val="solid"/>
            </a:ln>
          </c:spPr>
          <c:marker>
            <c:symbol val="none"/>
          </c:marker>
          <c:xVal>
            <c:numLit>
              <c:formatCode>General</c:formatCode>
              <c:ptCount val="2"/>
              <c:pt idx="0">
                <c:v>-5.0149270347463339</c:v>
              </c:pt>
              <c:pt idx="1">
                <c:v>-4.7457616406108887</c:v>
              </c:pt>
            </c:numLit>
          </c:xVal>
          <c:yVal>
            <c:numLit>
              <c:formatCode>General</c:formatCode>
              <c:ptCount val="2"/>
              <c:pt idx="0">
                <c:v>1.6321266282315831E-2</c:v>
              </c:pt>
              <c:pt idx="1">
                <c:v>1.6419255616592431E-2</c:v>
              </c:pt>
            </c:numLit>
          </c:yVal>
          <c:smooth val="0"/>
          <c:extLst>
            <c:ext xmlns:c16="http://schemas.microsoft.com/office/drawing/2014/chart" uri="{C3380CC4-5D6E-409C-BE32-E72D297353CC}">
              <c16:uniqueId val="{0000006B-0D5B-4C62-B15F-F0F86E881C47}"/>
            </c:ext>
          </c:extLst>
        </c:ser>
        <c:ser>
          <c:idx val="100"/>
          <c:order val="100"/>
          <c:spPr>
            <a:ln w="3175">
              <a:solidFill>
                <a:srgbClr val="000000"/>
              </a:solidFill>
              <a:prstDash val="solid"/>
            </a:ln>
          </c:spPr>
          <c:marker>
            <c:symbol val="none"/>
          </c:marker>
          <c:xVal>
            <c:numLit>
              <c:formatCode>General</c:formatCode>
              <c:ptCount val="2"/>
              <c:pt idx="0">
                <c:v>-4.9126725205921735</c:v>
              </c:pt>
              <c:pt idx="1">
                <c:v>-4.6456687915541259</c:v>
              </c:pt>
            </c:numLit>
          </c:xVal>
          <c:yVal>
            <c:numLit>
              <c:formatCode>General</c:formatCode>
              <c:ptCount val="2"/>
              <c:pt idx="0">
                <c:v>1.6172126616717374E-2</c:v>
              </c:pt>
              <c:pt idx="1">
                <c:v>1.6273299812841348E-2</c:v>
              </c:pt>
            </c:numLit>
          </c:yVal>
          <c:smooth val="0"/>
          <c:extLst>
            <c:ext xmlns:c16="http://schemas.microsoft.com/office/drawing/2014/chart" uri="{C3380CC4-5D6E-409C-BE32-E72D297353CC}">
              <c16:uniqueId val="{0000006C-0D5B-4C62-B15F-F0F86E881C47}"/>
            </c:ext>
          </c:extLst>
        </c:ser>
        <c:ser>
          <c:idx val="101"/>
          <c:order val="101"/>
          <c:spPr>
            <a:ln w="3175">
              <a:solidFill>
                <a:srgbClr val="000000"/>
              </a:solidFill>
              <a:prstDash val="solid"/>
            </a:ln>
          </c:spPr>
          <c:marker>
            <c:symbol val="none"/>
          </c:marker>
          <c:xVal>
            <c:numLit>
              <c:formatCode>General</c:formatCode>
              <c:ptCount val="2"/>
              <c:pt idx="0">
                <c:v>-4.8047572565634464</c:v>
              </c:pt>
              <c:pt idx="1">
                <c:v>-4.2753392408300135</c:v>
              </c:pt>
            </c:numLit>
          </c:xVal>
          <c:yVal>
            <c:numLit>
              <c:formatCode>General</c:formatCode>
              <c:ptCount val="2"/>
              <c:pt idx="0">
                <c:v>1.602090464428578E-2</c:v>
              </c:pt>
              <c:pt idx="1">
                <c:v>1.6229744658270026E-2</c:v>
              </c:pt>
            </c:numLit>
          </c:yVal>
          <c:smooth val="0"/>
          <c:extLst>
            <c:ext xmlns:c16="http://schemas.microsoft.com/office/drawing/2014/chart" uri="{C3380CC4-5D6E-409C-BE32-E72D297353CC}">
              <c16:uniqueId val="{0000006D-0D5B-4C62-B15F-F0F86E881C47}"/>
            </c:ext>
          </c:extLst>
        </c:ser>
        <c:ser>
          <c:idx val="102"/>
          <c:order val="102"/>
          <c:spPr>
            <a:ln w="3175">
              <a:solidFill>
                <a:srgbClr val="000000"/>
              </a:solidFill>
              <a:prstDash val="solid"/>
            </a:ln>
          </c:spPr>
          <c:marker>
            <c:symbol val="none"/>
          </c:marker>
          <c:xVal>
            <c:numLit>
              <c:formatCode>General</c:formatCode>
              <c:ptCount val="2"/>
              <c:pt idx="0">
                <c:v>-4.6909655282406417</c:v>
              </c:pt>
              <c:pt idx="1">
                <c:v>-4.4286515323763824</c:v>
              </c:pt>
            </c:numLit>
          </c:xVal>
          <c:yVal>
            <c:numLit>
              <c:formatCode>General</c:formatCode>
              <c:ptCount val="2"/>
              <c:pt idx="0">
                <c:v>1.5867700314020336E-2</c:v>
              </c:pt>
              <c:pt idx="1">
                <c:v>1.5975376328465341E-2</c:v>
              </c:pt>
            </c:numLit>
          </c:yVal>
          <c:smooth val="0"/>
          <c:extLst>
            <c:ext xmlns:c16="http://schemas.microsoft.com/office/drawing/2014/chart" uri="{C3380CC4-5D6E-409C-BE32-E72D297353CC}">
              <c16:uniqueId val="{0000006E-0D5B-4C62-B15F-F0F86E881C47}"/>
            </c:ext>
          </c:extLst>
        </c:ser>
        <c:ser>
          <c:idx val="103"/>
          <c:order val="103"/>
          <c:spPr>
            <a:ln w="3175">
              <a:solidFill>
                <a:srgbClr val="000000"/>
              </a:solidFill>
              <a:prstDash val="solid"/>
            </a:ln>
          </c:spPr>
          <c:marker>
            <c:symbol val="none"/>
          </c:marker>
          <c:xVal>
            <c:numLit>
              <c:formatCode>General</c:formatCode>
              <c:ptCount val="2"/>
              <c:pt idx="0">
                <c:v>-4.5710839706874209</c:v>
              </c:pt>
              <c:pt idx="1">
                <c:v>-4.3113074088595988</c:v>
              </c:pt>
            </c:numLit>
          </c:xVal>
          <c:yVal>
            <c:numLit>
              <c:formatCode>General</c:formatCode>
              <c:ptCount val="2"/>
              <c:pt idx="0">
                <c:v>1.5712628049326046E-2</c:v>
              </c:pt>
              <c:pt idx="1">
                <c:v>1.5823618626362695E-2</c:v>
              </c:pt>
            </c:numLit>
          </c:yVal>
          <c:smooth val="0"/>
          <c:extLst>
            <c:ext xmlns:c16="http://schemas.microsoft.com/office/drawing/2014/chart" uri="{C3380CC4-5D6E-409C-BE32-E72D297353CC}">
              <c16:uniqueId val="{0000006F-0D5B-4C62-B15F-F0F86E881C47}"/>
            </c:ext>
          </c:extLst>
        </c:ser>
        <c:ser>
          <c:idx val="104"/>
          <c:order val="104"/>
          <c:spPr>
            <a:ln w="3175">
              <a:solidFill>
                <a:srgbClr val="000000"/>
              </a:solidFill>
              <a:prstDash val="solid"/>
            </a:ln>
          </c:spPr>
          <c:marker>
            <c:symbol val="none"/>
          </c:marker>
          <c:xVal>
            <c:numLit>
              <c:formatCode>General</c:formatCode>
              <c:ptCount val="2"/>
              <c:pt idx="0">
                <c:v>-4.4449032169939464</c:v>
              </c:pt>
              <c:pt idx="1">
                <c:v>-4.1877986154546427</c:v>
              </c:pt>
            </c:numLit>
          </c:xVal>
          <c:yVal>
            <c:numLit>
              <c:formatCode>General</c:formatCode>
              <c:ptCount val="2"/>
              <c:pt idx="0">
                <c:v>1.5555817447964507E-2</c:v>
              </c:pt>
              <c:pt idx="1">
                <c:v>1.5670161229587115E-2</c:v>
              </c:pt>
            </c:numLit>
          </c:yVal>
          <c:smooth val="0"/>
          <c:extLst>
            <c:ext xmlns:c16="http://schemas.microsoft.com/office/drawing/2014/chart" uri="{C3380CC4-5D6E-409C-BE32-E72D297353CC}">
              <c16:uniqueId val="{00000070-0D5B-4C62-B15F-F0F86E881C47}"/>
            </c:ext>
          </c:extLst>
        </c:ser>
        <c:ser>
          <c:idx val="105"/>
          <c:order val="105"/>
          <c:spPr>
            <a:ln w="3175">
              <a:solidFill>
                <a:srgbClr val="000000"/>
              </a:solidFill>
              <a:prstDash val="solid"/>
            </a:ln>
          </c:spPr>
          <c:marker>
            <c:symbol val="none"/>
          </c:marker>
          <c:xVal>
            <c:numLit>
              <c:formatCode>General</c:formatCode>
              <c:ptCount val="2"/>
              <c:pt idx="0">
                <c:v>-4.312219716966025</c:v>
              </c:pt>
              <c:pt idx="1">
                <c:v>-4.0579260852665504</c:v>
              </c:pt>
            </c:numLit>
          </c:xVal>
          <c:yVal>
            <c:numLit>
              <c:formatCode>General</c:formatCode>
              <c:ptCount val="2"/>
              <c:pt idx="0">
                <c:v>1.5397413908124226E-2</c:v>
              </c:pt>
              <c:pt idx="1">
                <c:v>1.5515146520333783E-2</c:v>
              </c:pt>
            </c:numLit>
          </c:yVal>
          <c:smooth val="0"/>
          <c:extLst>
            <c:ext xmlns:c16="http://schemas.microsoft.com/office/drawing/2014/chart" uri="{C3380CC4-5D6E-409C-BE32-E72D297353CC}">
              <c16:uniqueId val="{00000071-0D5B-4C62-B15F-F0F86E881C47}"/>
            </c:ext>
          </c:extLst>
        </c:ser>
        <c:ser>
          <c:idx val="106"/>
          <c:order val="106"/>
          <c:spPr>
            <a:ln w="3175">
              <a:solidFill>
                <a:srgbClr val="000000"/>
              </a:solidFill>
              <a:prstDash val="solid"/>
            </a:ln>
          </c:spPr>
          <c:marker>
            <c:symbol val="none"/>
          </c:marker>
          <c:xVal>
            <c:numLit>
              <c:formatCode>General</c:formatCode>
              <c:ptCount val="2"/>
              <c:pt idx="0">
                <c:v>-4.1728377232389242</c:v>
              </c:pt>
              <c:pt idx="1">
                <c:v>-3.6701909794749938</c:v>
              </c:pt>
            </c:numLit>
          </c:xVal>
          <c:yVal>
            <c:numLit>
              <c:formatCode>General</c:formatCode>
              <c:ptCount val="2"/>
              <c:pt idx="0">
                <c:v>1.5237579159901987E-2</c:v>
              </c:pt>
              <c:pt idx="1">
                <c:v>1.5479922581002253E-2</c:v>
              </c:pt>
            </c:numLit>
          </c:yVal>
          <c:smooth val="0"/>
          <c:extLst>
            <c:ext xmlns:c16="http://schemas.microsoft.com/office/drawing/2014/chart" uri="{C3380CC4-5D6E-409C-BE32-E72D297353CC}">
              <c16:uniqueId val="{00000072-0D5B-4C62-B15F-F0F86E881C47}"/>
            </c:ext>
          </c:extLst>
        </c:ser>
        <c:ser>
          <c:idx val="107"/>
          <c:order val="107"/>
          <c:spPr>
            <a:ln w="3175">
              <a:solidFill>
                <a:srgbClr val="000000"/>
              </a:solidFill>
              <a:prstDash val="solid"/>
            </a:ln>
          </c:spPr>
          <c:marker>
            <c:symbol val="none"/>
          </c:marker>
          <c:xVal>
            <c:numLit>
              <c:formatCode>General</c:formatCode>
              <c:ptCount val="2"/>
              <c:pt idx="0">
                <c:v>-4.026571437958375</c:v>
              </c:pt>
              <c:pt idx="1">
                <c:v>-3.778333902587538</c:v>
              </c:pt>
            </c:numLit>
          </c:xVal>
          <c:yVal>
            <c:numLit>
              <c:formatCode>General</c:formatCode>
              <c:ptCount val="2"/>
              <c:pt idx="0">
                <c:v>1.5076491680015076E-2</c:v>
              </c:pt>
              <c:pt idx="1">
                <c:v>1.5201094996387811E-2</c:v>
              </c:pt>
            </c:numLit>
          </c:yVal>
          <c:smooth val="0"/>
          <c:extLst>
            <c:ext xmlns:c16="http://schemas.microsoft.com/office/drawing/2014/chart" uri="{C3380CC4-5D6E-409C-BE32-E72D297353CC}">
              <c16:uniqueId val="{00000073-0D5B-4C62-B15F-F0F86E881C47}"/>
            </c:ext>
          </c:extLst>
        </c:ser>
        <c:ser>
          <c:idx val="108"/>
          <c:order val="108"/>
          <c:spPr>
            <a:ln w="3175">
              <a:solidFill>
                <a:srgbClr val="000000"/>
              </a:solidFill>
              <a:prstDash val="solid"/>
            </a:ln>
          </c:spPr>
          <c:marker>
            <c:symbol val="none"/>
          </c:marker>
          <c:xVal>
            <c:numLit>
              <c:formatCode>General</c:formatCode>
              <c:ptCount val="2"/>
              <c:pt idx="0">
                <c:v>-3.8732473084196117</c:v>
              </c:pt>
              <c:pt idx="1">
                <c:v>-3.6282629203486501</c:v>
              </c:pt>
            </c:numLit>
          </c:xVal>
          <c:yVal>
            <c:numLit>
              <c:formatCode>General</c:formatCode>
              <c:ptCount val="2"/>
              <c:pt idx="0">
                <c:v>1.4914346966454389E-2</c:v>
              </c:pt>
              <c:pt idx="1">
                <c:v>1.5042424325441343E-2</c:v>
              </c:pt>
            </c:numLit>
          </c:yVal>
          <c:smooth val="0"/>
          <c:extLst>
            <c:ext xmlns:c16="http://schemas.microsoft.com/office/drawing/2014/chart" uri="{C3380CC4-5D6E-409C-BE32-E72D297353CC}">
              <c16:uniqueId val="{00000074-0D5B-4C62-B15F-F0F86E881C47}"/>
            </c:ext>
          </c:extLst>
        </c:ser>
        <c:ser>
          <c:idx val="109"/>
          <c:order val="109"/>
          <c:spPr>
            <a:ln w="3175">
              <a:solidFill>
                <a:srgbClr val="000000"/>
              </a:solidFill>
              <a:prstDash val="solid"/>
            </a:ln>
          </c:spPr>
          <c:marker>
            <c:symbol val="none"/>
          </c:marker>
          <c:xVal>
            <c:numLit>
              <c:formatCode>General</c:formatCode>
              <c:ptCount val="2"/>
              <c:pt idx="0">
                <c:v>-3.7127064547319453</c:v>
              </c:pt>
              <c:pt idx="1">
                <c:v>-3.4711301637575316</c:v>
              </c:pt>
            </c:numLit>
          </c:xVal>
          <c:yVal>
            <c:numLit>
              <c:formatCode>General</c:formatCode>
              <c:ptCount val="2"/>
              <c:pt idx="0">
                <c:v>1.4751357649160357E-2</c:v>
              </c:pt>
              <c:pt idx="1">
                <c:v>1.4882929003442607E-2</c:v>
              </c:pt>
            </c:numLit>
          </c:yVal>
          <c:smooth val="0"/>
          <c:extLst>
            <c:ext xmlns:c16="http://schemas.microsoft.com/office/drawing/2014/chart" uri="{C3380CC4-5D6E-409C-BE32-E72D297353CC}">
              <c16:uniqueId val="{00000075-0D5B-4C62-B15F-F0F86E881C47}"/>
            </c:ext>
          </c:extLst>
        </c:ser>
        <c:ser>
          <c:idx val="110"/>
          <c:order val="110"/>
          <c:spPr>
            <a:ln w="3175">
              <a:solidFill>
                <a:srgbClr val="000000"/>
              </a:solidFill>
              <a:prstDash val="solid"/>
            </a:ln>
          </c:spPr>
          <c:marker>
            <c:symbol val="none"/>
          </c:marker>
          <c:xVal>
            <c:numLit>
              <c:formatCode>General</c:formatCode>
              <c:ptCount val="2"/>
              <c:pt idx="0">
                <c:v>-3.5448072067633123</c:v>
              </c:pt>
              <c:pt idx="1">
                <c:v>-3.3067971968373073</c:v>
              </c:pt>
            </c:numLit>
          </c:xVal>
          <c:yVal>
            <c:numLit>
              <c:formatCode>General</c:formatCode>
              <c:ptCount val="2"/>
              <c:pt idx="0">
                <c:v>1.458775341278396E-2</c:v>
              </c:pt>
              <c:pt idx="1">
                <c:v>1.4722833866947267E-2</c:v>
              </c:pt>
            </c:numLit>
          </c:yVal>
          <c:smooth val="0"/>
          <c:extLst>
            <c:ext xmlns:c16="http://schemas.microsoft.com/office/drawing/2014/chart" uri="{C3380CC4-5D6E-409C-BE32-E72D297353CC}">
              <c16:uniqueId val="{00000076-0D5B-4C62-B15F-F0F86E881C47}"/>
            </c:ext>
          </c:extLst>
        </c:ser>
        <c:ser>
          <c:idx val="111"/>
          <c:order val="111"/>
          <c:spPr>
            <a:ln w="3175">
              <a:solidFill>
                <a:srgbClr val="000000"/>
              </a:solidFill>
              <a:prstDash val="solid"/>
            </a:ln>
          </c:spPr>
          <c:marker>
            <c:symbol val="none"/>
          </c:marker>
          <c:xVal>
            <c:numLit>
              <c:formatCode>General</c:formatCode>
              <c:ptCount val="2"/>
              <c:pt idx="0">
                <c:v>-3.3694277214410562</c:v>
              </c:pt>
              <c:pt idx="1">
                <c:v>-2.9009011365821324</c:v>
              </c:pt>
            </c:numLit>
          </c:xVal>
          <c:yVal>
            <c:numLit>
              <c:formatCode>General</c:formatCode>
              <c:ptCount val="2"/>
              <c:pt idx="0">
                <c:v>1.4423780708309812E-2</c:v>
              </c:pt>
              <c:pt idx="1">
                <c:v>1.4701015343783125E-2</c:v>
              </c:pt>
            </c:numLit>
          </c:yVal>
          <c:smooth val="0"/>
          <c:extLst>
            <c:ext xmlns:c16="http://schemas.microsoft.com/office/drawing/2014/chart" uri="{C3380CC4-5D6E-409C-BE32-E72D297353CC}">
              <c16:uniqueId val="{00000077-0D5B-4C62-B15F-F0F86E881C47}"/>
            </c:ext>
          </c:extLst>
        </c:ser>
        <c:ser>
          <c:idx val="112"/>
          <c:order val="112"/>
          <c:spPr>
            <a:ln w="3175">
              <a:solidFill>
                <a:srgbClr val="000000"/>
              </a:solidFill>
              <a:prstDash val="solid"/>
            </a:ln>
          </c:spPr>
          <c:marker>
            <c:symbol val="none"/>
          </c:marker>
          <c:xVal>
            <c:numLit>
              <c:formatCode>General</c:formatCode>
              <c:ptCount val="2"/>
              <c:pt idx="0">
                <c:v>-3.1864686451132647</c:v>
              </c:pt>
              <c:pt idx="1">
                <c:v>-2.9560765734004115</c:v>
              </c:pt>
            </c:numLit>
          </c:xVal>
          <c:yVal>
            <c:numLit>
              <c:formatCode>General</c:formatCode>
              <c:ptCount val="2"/>
              <c:pt idx="0">
                <c:v>1.4259702231886499E-2</c:v>
              </c:pt>
              <c:pt idx="1">
                <c:v>1.4401824969069376E-2</c:v>
              </c:pt>
            </c:numLit>
          </c:yVal>
          <c:smooth val="0"/>
          <c:extLst>
            <c:ext xmlns:c16="http://schemas.microsoft.com/office/drawing/2014/chart" uri="{C3380CC4-5D6E-409C-BE32-E72D297353CC}">
              <c16:uniqueId val="{00000078-0D5B-4C62-B15F-F0F86E881C47}"/>
            </c:ext>
          </c:extLst>
        </c:ser>
        <c:ser>
          <c:idx val="113"/>
          <c:order val="113"/>
          <c:spPr>
            <a:ln w="3175">
              <a:solidFill>
                <a:srgbClr val="000000"/>
              </a:solidFill>
              <a:prstDash val="solid"/>
            </a:ln>
          </c:spPr>
          <c:marker>
            <c:symbol val="none"/>
          </c:marker>
          <c:xVal>
            <c:numLit>
              <c:formatCode>General</c:formatCode>
              <c:ptCount val="2"/>
              <c:pt idx="0">
                <c:v>-2.995855779328612</c:v>
              </c:pt>
              <c:pt idx="1">
                <c:v>-2.7695195454399149</c:v>
              </c:pt>
            </c:numLit>
          </c:xVal>
          <c:yVal>
            <c:numLit>
              <c:formatCode>General</c:formatCode>
              <c:ptCount val="2"/>
              <c:pt idx="0">
                <c:v>1.4095796151733538E-2</c:v>
              </c:pt>
              <c:pt idx="1">
                <c:v>1.4241440571197172E-2</c:v>
              </c:pt>
            </c:numLit>
          </c:yVal>
          <c:smooth val="0"/>
          <c:extLst>
            <c:ext xmlns:c16="http://schemas.microsoft.com/office/drawing/2014/chart" uri="{C3380CC4-5D6E-409C-BE32-E72D297353CC}">
              <c16:uniqueId val="{00000079-0D5B-4C62-B15F-F0F86E881C47}"/>
            </c:ext>
          </c:extLst>
        </c:ser>
        <c:ser>
          <c:idx val="114"/>
          <c:order val="114"/>
          <c:spPr>
            <a:ln w="3175">
              <a:solidFill>
                <a:srgbClr val="000000"/>
              </a:solidFill>
              <a:prstDash val="solid"/>
            </a:ln>
          </c:spPr>
          <c:marker>
            <c:symbol val="none"/>
          </c:marker>
          <c:xVal>
            <c:numLit>
              <c:formatCode>General</c:formatCode>
              <c:ptCount val="2"/>
              <c:pt idx="0">
                <c:v>-2.797542702336508</c:v>
              </c:pt>
              <c:pt idx="1">
                <c:v>-2.5754287346047877</c:v>
              </c:pt>
            </c:numLit>
          </c:xVal>
          <c:yVal>
            <c:numLit>
              <c:formatCode>General</c:formatCode>
              <c:ptCount val="2"/>
              <c:pt idx="0">
                <c:v>1.3932355067550029E-2</c:v>
              </c:pt>
              <c:pt idx="1">
                <c:v>1.4081513307464042E-2</c:v>
              </c:pt>
            </c:numLit>
          </c:yVal>
          <c:smooth val="0"/>
          <c:extLst>
            <c:ext xmlns:c16="http://schemas.microsoft.com/office/drawing/2014/chart" uri="{C3380CC4-5D6E-409C-BE32-E72D297353CC}">
              <c16:uniqueId val="{0000007A-0D5B-4C62-B15F-F0F86E881C47}"/>
            </c:ext>
          </c:extLst>
        </c:ser>
        <c:ser>
          <c:idx val="115"/>
          <c:order val="115"/>
          <c:spPr>
            <a:ln w="3175">
              <a:solidFill>
                <a:srgbClr val="000000"/>
              </a:solidFill>
              <a:prstDash val="solid"/>
            </a:ln>
          </c:spPr>
          <c:marker>
            <c:symbol val="none"/>
          </c:marker>
          <c:xVal>
            <c:numLit>
              <c:formatCode>General</c:formatCode>
              <c:ptCount val="2"/>
              <c:pt idx="0">
                <c:v>-2.5915132931495299</c:v>
              </c:pt>
              <c:pt idx="1">
                <c:v>-2.3737886177428424</c:v>
              </c:pt>
            </c:numLit>
          </c:xVal>
          <c:yVal>
            <c:numLit>
              <c:formatCode>General</c:formatCode>
              <c:ptCount val="2"/>
              <c:pt idx="0">
                <c:v>1.3769684691476037E-2</c:v>
              </c:pt>
              <c:pt idx="1">
                <c:v>1.3922342343814391E-2</c:v>
              </c:pt>
            </c:numLit>
          </c:yVal>
          <c:smooth val="0"/>
          <c:extLst>
            <c:ext xmlns:c16="http://schemas.microsoft.com/office/drawing/2014/chart" uri="{C3380CC4-5D6E-409C-BE32-E72D297353CC}">
              <c16:uniqueId val="{0000007B-0D5B-4C62-B15F-F0F86E881C47}"/>
            </c:ext>
          </c:extLst>
        </c:ser>
        <c:ser>
          <c:idx val="116"/>
          <c:order val="116"/>
          <c:spPr>
            <a:ln w="3175">
              <a:solidFill>
                <a:srgbClr val="000000"/>
              </a:solidFill>
              <a:prstDash val="solid"/>
            </a:ln>
          </c:spPr>
          <c:marker>
            <c:symbol val="none"/>
          </c:marker>
          <c:xVal>
            <c:numLit>
              <c:formatCode>General</c:formatCode>
              <c:ptCount val="2"/>
              <c:pt idx="0">
                <c:v>-2.3777841004811022</c:v>
              </c:pt>
              <c:pt idx="1">
                <c:v>-1.9514919878507884</c:v>
              </c:pt>
            </c:numLit>
          </c:xVal>
          <c:yVal>
            <c:numLit>
              <c:formatCode>General</c:formatCode>
              <c:ptCount val="2"/>
              <c:pt idx="0">
                <c:v>1.3608102245343555E-2</c:v>
              </c:pt>
              <c:pt idx="1">
                <c:v>1.3920407227151928E-2</c:v>
              </c:pt>
            </c:numLit>
          </c:yVal>
          <c:smooth val="0"/>
          <c:extLst>
            <c:ext xmlns:c16="http://schemas.microsoft.com/office/drawing/2014/chart" uri="{C3380CC4-5D6E-409C-BE32-E72D297353CC}">
              <c16:uniqueId val="{0000007C-0D5B-4C62-B15F-F0F86E881C47}"/>
            </c:ext>
          </c:extLst>
        </c:ser>
        <c:ser>
          <c:idx val="117"/>
          <c:order val="117"/>
          <c:spPr>
            <a:ln w="3175">
              <a:solidFill>
                <a:srgbClr val="000000"/>
              </a:solidFill>
              <a:prstDash val="solid"/>
            </a:ln>
          </c:spPr>
          <c:marker>
            <c:symbol val="none"/>
          </c:marker>
          <c:xVal>
            <c:numLit>
              <c:formatCode>General</c:formatCode>
              <c:ptCount val="2"/>
              <c:pt idx="0">
                <c:v>-2.156406495623691</c:v>
              </c:pt>
              <c:pt idx="1">
                <c:v>-1.9479603446816371</c:v>
              </c:pt>
            </c:numLit>
          </c:xVal>
          <c:yVal>
            <c:numLit>
              <c:formatCode>General</c:formatCode>
              <c:ptCount val="2"/>
              <c:pt idx="0">
                <c:v>1.3447934575631624E-2</c:v>
              </c:pt>
              <c:pt idx="1">
                <c:v>1.3607520356295923E-2</c:v>
              </c:pt>
            </c:numLit>
          </c:yVal>
          <c:smooth val="0"/>
          <c:extLst>
            <c:ext xmlns:c16="http://schemas.microsoft.com/office/drawing/2014/chart" uri="{C3380CC4-5D6E-409C-BE32-E72D297353CC}">
              <c16:uniqueId val="{0000007D-0D5B-4C62-B15F-F0F86E881C47}"/>
            </c:ext>
          </c:extLst>
        </c:ser>
        <c:ser>
          <c:idx val="118"/>
          <c:order val="118"/>
          <c:spPr>
            <a:ln w="3175">
              <a:solidFill>
                <a:srgbClr val="000000"/>
              </a:solidFill>
              <a:prstDash val="solid"/>
            </a:ln>
          </c:spPr>
          <c:marker>
            <c:symbol val="none"/>
          </c:marker>
          <c:xVal>
            <c:numLit>
              <c:formatCode>General</c:formatCode>
              <c:ptCount val="2"/>
              <c:pt idx="0">
                <c:v>-1.9274685467120087</c:v>
              </c:pt>
              <c:pt idx="1">
                <c:v>-1.723909151193072</c:v>
              </c:pt>
            </c:numLit>
          </c:xVal>
          <c:yVal>
            <c:numLit>
              <c:formatCode>General</c:formatCode>
              <c:ptCount val="2"/>
              <c:pt idx="0">
                <c:v>1.3289515995076896E-2</c:v>
              </c:pt>
              <c:pt idx="1">
                <c:v>1.3452516235149875E-2</c:v>
              </c:pt>
            </c:numLit>
          </c:yVal>
          <c:smooth val="0"/>
          <c:extLst>
            <c:ext xmlns:c16="http://schemas.microsoft.com/office/drawing/2014/chart" uri="{C3380CC4-5D6E-409C-BE32-E72D297353CC}">
              <c16:uniqueId val="{0000007E-0D5B-4C62-B15F-F0F86E881C47}"/>
            </c:ext>
          </c:extLst>
        </c:ser>
        <c:ser>
          <c:idx val="119"/>
          <c:order val="119"/>
          <c:spPr>
            <a:ln w="3175">
              <a:solidFill>
                <a:srgbClr val="000000"/>
              </a:solidFill>
              <a:prstDash val="solid"/>
            </a:ln>
          </c:spPr>
          <c:marker>
            <c:symbol val="none"/>
          </c:marker>
          <c:xVal>
            <c:numLit>
              <c:formatCode>General</c:formatCode>
              <c:ptCount val="2"/>
              <c:pt idx="0">
                <c:v>-1.6910965521384105</c:v>
              </c:pt>
              <c:pt idx="1">
                <c:v>-1.4925859044313796</c:v>
              </c:pt>
            </c:numLit>
          </c:xVal>
          <c:yVal>
            <c:numLit>
              <c:formatCode>General</c:formatCode>
              <c:ptCount val="2"/>
              <c:pt idx="0">
                <c:v>1.313318586808335E-2</c:v>
              </c:pt>
              <c:pt idx="1">
                <c:v>1.3299557742944548E-2</c:v>
              </c:pt>
            </c:numLit>
          </c:yVal>
          <c:smooth val="0"/>
          <c:extLst>
            <c:ext xmlns:c16="http://schemas.microsoft.com/office/drawing/2014/chart" uri="{C3380CC4-5D6E-409C-BE32-E72D297353CC}">
              <c16:uniqueId val="{0000007F-0D5B-4C62-B15F-F0F86E881C47}"/>
            </c:ext>
          </c:extLst>
        </c:ser>
        <c:ser>
          <c:idx val="120"/>
          <c:order val="120"/>
          <c:spPr>
            <a:ln w="3175">
              <a:solidFill>
                <a:srgbClr val="000000"/>
              </a:solidFill>
              <a:prstDash val="solid"/>
            </a:ln>
          </c:spPr>
          <c:marker>
            <c:symbol val="none"/>
          </c:marker>
          <c:xVal>
            <c:numLit>
              <c:formatCode>General</c:formatCode>
              <c:ptCount val="2"/>
              <c:pt idx="0">
                <c:v>-1.4474561734172946</c:v>
              </c:pt>
              <c:pt idx="1">
                <c:v>-1.2541529530699185</c:v>
              </c:pt>
            </c:numLit>
          </c:xVal>
          <c:yVal>
            <c:numLit>
              <c:formatCode>General</c:formatCode>
              <c:ptCount val="2"/>
              <c:pt idx="0">
                <c:v>1.2979285965653065E-2</c:v>
              </c:pt>
              <c:pt idx="1">
                <c:v>1.3148979228746737E-2</c:v>
              </c:pt>
            </c:numLit>
          </c:yVal>
          <c:smooth val="0"/>
          <c:extLst>
            <c:ext xmlns:c16="http://schemas.microsoft.com/office/drawing/2014/chart" uri="{C3380CC4-5D6E-409C-BE32-E72D297353CC}">
              <c16:uniqueId val="{00000080-0D5B-4C62-B15F-F0F86E881C47}"/>
            </c:ext>
          </c:extLst>
        </c:ser>
        <c:ser>
          <c:idx val="121"/>
          <c:order val="121"/>
          <c:spPr>
            <a:ln w="3175">
              <a:solidFill>
                <a:srgbClr val="000000"/>
              </a:solidFill>
              <a:prstDash val="solid"/>
            </a:ln>
          </c:spPr>
          <c:marker>
            <c:symbol val="none"/>
          </c:marker>
          <c:xVal>
            <c:numLit>
              <c:formatCode>General</c:formatCode>
              <c:ptCount val="2"/>
              <c:pt idx="0">
                <c:v>-1.1967531127124049</c:v>
              </c:pt>
              <c:pt idx="1">
                <c:v>-0.82091889735930601</c:v>
              </c:pt>
            </c:numLit>
          </c:xVal>
          <c:yVal>
            <c:numLit>
              <c:formatCode>General</c:formatCode>
              <c:ptCount val="2"/>
              <c:pt idx="0">
                <c:v>1.2828157624189995E-2</c:v>
              </c:pt>
              <c:pt idx="1">
                <c:v>1.3174100182621095E-2</c:v>
              </c:pt>
            </c:numLit>
          </c:yVal>
          <c:smooth val="0"/>
          <c:extLst>
            <c:ext xmlns:c16="http://schemas.microsoft.com/office/drawing/2014/chart" uri="{C3380CC4-5D6E-409C-BE32-E72D297353CC}">
              <c16:uniqueId val="{00000081-0D5B-4C62-B15F-F0F86E881C47}"/>
            </c:ext>
          </c:extLst>
        </c:ser>
        <c:ser>
          <c:idx val="122"/>
          <c:order val="122"/>
          <c:spPr>
            <a:ln w="3175">
              <a:solidFill>
                <a:srgbClr val="000000"/>
              </a:solidFill>
              <a:prstDash val="solid"/>
            </a:ln>
          </c:spPr>
          <c:marker>
            <c:symbol val="none"/>
          </c:marker>
          <c:xVal>
            <c:numLit>
              <c:formatCode>General</c:formatCode>
              <c:ptCount val="56"/>
              <c:pt idx="0">
                <c:v>-6.4780000000000006</c:v>
              </c:pt>
              <c:pt idx="1">
                <c:v>-6.4771548667567451</c:v>
              </c:pt>
              <c:pt idx="2">
                <c:v>-6.4744781546020507</c:v>
              </c:pt>
              <c:pt idx="3">
                <c:v>-6.4697392601020702</c:v>
              </c:pt>
              <c:pt idx="4">
                <c:v>-6.4626803906648105</c:v>
              </c:pt>
              <c:pt idx="5">
                <c:v>-6.4530133649286947</c:v>
              </c:pt>
              <c:pt idx="6">
                <c:v>-6.4404160659918741</c:v>
              </c:pt>
              <c:pt idx="7">
                <c:v>-6.4245285241259857</c:v>
              </c:pt>
              <c:pt idx="8">
                <c:v>-6.4049486097896127</c:v>
              </c:pt>
              <c:pt idx="9">
                <c:v>-6.3812273246822127</c:v>
              </c:pt>
              <c:pt idx="10">
                <c:v>-6.3528636892133203</c:v>
              </c:pt>
              <c:pt idx="11">
                <c:v>-6.3192992403036552</c:v>
              </c:pt>
              <c:pt idx="12">
                <c:v>-6.2799121753649985</c:v>
              </c:pt>
              <c:pt idx="13">
                <c:v>-6.2340112084088908</c:v>
              </c:pt>
              <c:pt idx="14">
                <c:v>-6.1808292446003525</c:v>
              </c:pt>
              <c:pt idx="15">
                <c:v>-6.1195170325550308</c:v>
              </c:pt>
              <c:pt idx="16">
                <c:v>-6.085522707107951</c:v>
              </c:pt>
              <c:pt idx="17">
                <c:v>-6.0491370217777725</c:v>
              </c:pt>
              <c:pt idx="18">
                <c:v>-6.0102280619194612</c:v>
              </c:pt>
              <c:pt idx="19">
                <c:v>-5.9686577382838752</c:v>
              </c:pt>
              <c:pt idx="20">
                <c:v>-5.9242816702136096</c:v>
              </c:pt>
              <c:pt idx="21">
                <c:v>-5.8769490965930213</c:v>
              </c:pt>
              <c:pt idx="22">
                <c:v>-5.8265028202105924</c:v>
              </c:pt>
              <c:pt idx="23">
                <c:v>-5.7727791918245215</c:v>
              </c:pt>
              <c:pt idx="24">
                <c:v>-5.7156081408752861</c:v>
              </c:pt>
              <c:pt idx="25">
                <c:v>-5.6548132604507</c:v>
              </c:pt>
              <c:pt idx="26">
                <c:v>-5.5902119547643538</c:v>
              </c:pt>
              <c:pt idx="27">
                <c:v>-5.5216156580385984</c:v>
              </c:pt>
              <c:pt idx="28">
                <c:v>-5.4488301342643446</c:v>
              </c:pt>
              <c:pt idx="29">
                <c:v>-5.3716558678134341</c:v>
              </c:pt>
              <c:pt idx="30">
                <c:v>-5.2898885552707755</c:v>
              </c:pt>
              <c:pt idx="31">
                <c:v>-5.2033197090931331</c:v>
              </c:pt>
              <c:pt idx="32">
                <c:v>-5.1117373837437654</c:v>
              </c:pt>
              <c:pt idx="33">
                <c:v>-5.0149270347463339</c:v>
              </c:pt>
              <c:pt idx="34">
                <c:v>-4.9126725205921735</c:v>
              </c:pt>
              <c:pt idx="35">
                <c:v>-4.8047572565634464</c:v>
              </c:pt>
              <c:pt idx="36">
                <c:v>-4.6909655282406417</c:v>
              </c:pt>
              <c:pt idx="37">
                <c:v>-4.5710839706874209</c:v>
              </c:pt>
              <c:pt idx="38">
                <c:v>-4.4449032169939464</c:v>
              </c:pt>
              <c:pt idx="39">
                <c:v>-4.312219716966025</c:v>
              </c:pt>
              <c:pt idx="40">
                <c:v>-4.1728377232389242</c:v>
              </c:pt>
              <c:pt idx="41">
                <c:v>-4.026571437958375</c:v>
              </c:pt>
              <c:pt idx="42">
                <c:v>-3.8732473084196117</c:v>
              </c:pt>
              <c:pt idx="43">
                <c:v>-3.7127064547319453</c:v>
              </c:pt>
              <c:pt idx="44">
                <c:v>-3.5448072067633123</c:v>
              </c:pt>
              <c:pt idx="45">
                <c:v>-3.3694277214410562</c:v>
              </c:pt>
              <c:pt idx="46">
                <c:v>-3.1864686451132647</c:v>
              </c:pt>
              <c:pt idx="47">
                <c:v>-2.995855779328612</c:v>
              </c:pt>
              <c:pt idx="48">
                <c:v>-2.797542702336508</c:v>
              </c:pt>
              <c:pt idx="49">
                <c:v>-2.5915132931495299</c:v>
              </c:pt>
              <c:pt idx="50">
                <c:v>-2.3777841004811022</c:v>
              </c:pt>
              <c:pt idx="51">
                <c:v>-2.156406495623691</c:v>
              </c:pt>
              <c:pt idx="52">
                <c:v>-1.9274685467120087</c:v>
              </c:pt>
              <c:pt idx="53">
                <c:v>-1.6910965521384105</c:v>
              </c:pt>
              <c:pt idx="54">
                <c:v>-1.4474561734172946</c:v>
              </c:pt>
              <c:pt idx="55">
                <c:v>-1.1967531127124049</c:v>
              </c:pt>
            </c:numLit>
          </c:xVal>
          <c:yVal>
            <c:numLit>
              <c:formatCode>General</c:formatCode>
              <c:ptCount val="56"/>
              <c:pt idx="0">
                <c:v>2.0930000000000001E-2</c:v>
              </c:pt>
              <c:pt idx="1">
                <c:v>2.0816221982499338E-2</c:v>
              </c:pt>
              <c:pt idx="2">
                <c:v>2.0697747630638599E-2</c:v>
              </c:pt>
              <c:pt idx="3">
                <c:v>2.0574329599127333E-2</c:v>
              </c:pt>
              <c:pt idx="4">
                <c:v>2.0445707961793541E-2</c:v>
              </c:pt>
              <c:pt idx="5">
                <c:v>2.0311610158401223E-2</c:v>
              </c:pt>
              <c:pt idx="6">
                <c:v>2.0171751126828213E-2</c:v>
              </c:pt>
              <c:pt idx="7">
                <c:v>2.0025833674800028E-2</c:v>
              </c:pt>
              <c:pt idx="8">
                <c:v>1.9873549157153957E-2</c:v>
              </c:pt>
              <c:pt idx="9">
                <c:v>1.9714578538365699E-2</c:v>
              </c:pt>
              <c:pt idx="10">
                <c:v>1.9548593935935225E-2</c:v>
              </c:pt>
              <c:pt idx="11">
                <c:v>1.9375260758225134E-2</c:v>
              </c:pt>
              <c:pt idx="12">
                <c:v>1.9194240570334139E-2</c:v>
              </c:pt>
              <c:pt idx="13">
                <c:v>1.900519484317249E-2</c:v>
              </c:pt>
              <c:pt idx="14">
                <c:v>1.8807789763299193E-2</c:v>
              </c:pt>
              <c:pt idx="15">
                <c:v>1.86017023029456E-2</c:v>
              </c:pt>
              <c:pt idx="16">
                <c:v>1.8495306506800622E-2</c:v>
              </c:pt>
              <c:pt idx="17">
                <c:v>1.8386627768883546E-2</c:v>
              </c:pt>
              <c:pt idx="18">
                <c:v>1.8275632385817388E-2</c:v>
              </c:pt>
              <c:pt idx="19">
                <c:v>1.8162289062279902E-2</c:v>
              </c:pt>
              <c:pt idx="20">
                <c:v>1.8046569310441331E-2</c:v>
              </c:pt>
              <c:pt idx="21">
                <c:v>1.7928447884993152E-2</c:v>
              </c:pt>
              <c:pt idx="22">
                <c:v>1.780790325517077E-2</c:v>
              </c:pt>
              <c:pt idx="23">
                <c:v>1.7684918114909066E-2</c:v>
              </c:pt>
              <c:pt idx="24">
                <c:v>1.7559479931924228E-2</c:v>
              </c:pt>
              <c:pt idx="25">
                <c:v>1.7431581536076757E-2</c:v>
              </c:pt>
              <c:pt idx="26">
                <c:v>1.730122174682644E-2</c:v>
              </c:pt>
              <c:pt idx="27">
                <c:v>1.7168406038928632E-2</c:v>
              </c:pt>
              <c:pt idx="28">
                <c:v>1.7033147244730054E-2</c:v>
              </c:pt>
              <c:pt idx="29">
                <c:v>1.6895466290491552E-2</c:v>
              </c:pt>
              <c:pt idx="30">
                <c:v>1.6755392963085362E-2</c:v>
              </c:pt>
              <c:pt idx="31">
                <c:v>1.6612966702180775E-2</c:v>
              </c:pt>
              <c:pt idx="32">
                <c:v>1.6468237411641461E-2</c:v>
              </c:pt>
              <c:pt idx="33">
                <c:v>1.6321266282315831E-2</c:v>
              </c:pt>
              <c:pt idx="34">
                <c:v>1.6172126616717374E-2</c:v>
              </c:pt>
              <c:pt idx="35">
                <c:v>1.602090464428578E-2</c:v>
              </c:pt>
              <c:pt idx="36">
                <c:v>1.5867700314020336E-2</c:v>
              </c:pt>
              <c:pt idx="37">
                <c:v>1.5712628049326046E-2</c:v>
              </c:pt>
              <c:pt idx="38">
                <c:v>1.5555817447964507E-2</c:v>
              </c:pt>
              <c:pt idx="39">
                <c:v>1.5397413908124226E-2</c:v>
              </c:pt>
              <c:pt idx="40">
                <c:v>1.5237579159901987E-2</c:v>
              </c:pt>
              <c:pt idx="41">
                <c:v>1.5076491680015076E-2</c:v>
              </c:pt>
              <c:pt idx="42">
                <c:v>1.4914346966454389E-2</c:v>
              </c:pt>
              <c:pt idx="43">
                <c:v>1.4751357649160357E-2</c:v>
              </c:pt>
              <c:pt idx="44">
                <c:v>1.458775341278396E-2</c:v>
              </c:pt>
              <c:pt idx="45">
                <c:v>1.4423780708309812E-2</c:v>
              </c:pt>
              <c:pt idx="46">
                <c:v>1.4259702231886499E-2</c:v>
              </c:pt>
              <c:pt idx="47">
                <c:v>1.4095796151733538E-2</c:v>
              </c:pt>
              <c:pt idx="48">
                <c:v>1.3932355067550029E-2</c:v>
              </c:pt>
              <c:pt idx="49">
                <c:v>1.3769684691476037E-2</c:v>
              </c:pt>
              <c:pt idx="50">
                <c:v>1.3608102245343555E-2</c:v>
              </c:pt>
              <c:pt idx="51">
                <c:v>1.3447934575631624E-2</c:v>
              </c:pt>
              <c:pt idx="52">
                <c:v>1.3289515995076896E-2</c:v>
              </c:pt>
              <c:pt idx="53">
                <c:v>1.313318586808335E-2</c:v>
              </c:pt>
              <c:pt idx="54">
                <c:v>1.2979285965653065E-2</c:v>
              </c:pt>
              <c:pt idx="55">
                <c:v>1.2828157624189995E-2</c:v>
              </c:pt>
            </c:numLit>
          </c:yVal>
          <c:smooth val="1"/>
          <c:extLst>
            <c:ext xmlns:c16="http://schemas.microsoft.com/office/drawing/2014/chart" uri="{C3380CC4-5D6E-409C-BE32-E72D297353CC}">
              <c16:uniqueId val="{00000082-0D5B-4C62-B15F-F0F86E881C47}"/>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FB20-47BD-89DD-BDE675514303}"/>
            </c:ext>
          </c:extLst>
        </c:ser>
        <c:ser>
          <c:idx val="1"/>
          <c:order val="1"/>
          <c:spPr>
            <a:ln w="3175">
              <a:solidFill>
                <a:srgbClr val="000000"/>
              </a:solidFill>
              <a:prstDash val="solid"/>
            </a:ln>
          </c:spPr>
          <c:marker>
            <c:symbol val="none"/>
          </c:marker>
          <c:xVal>
            <c:numLit>
              <c:formatCode>General</c:formatCode>
              <c:ptCount val="2"/>
              <c:pt idx="0">
                <c:v>19.065942353411515</c:v>
              </c:pt>
              <c:pt idx="1">
                <c:v>18.66787537570767</c:v>
              </c:pt>
            </c:numLit>
          </c:xVal>
          <c:yVal>
            <c:numLit>
              <c:formatCode>General</c:formatCode>
              <c:ptCount val="2"/>
              <c:pt idx="0">
                <c:v>3.0559524052679921E-2</c:v>
              </c:pt>
              <c:pt idx="1">
                <c:v>3.0227471499139232E-2</c:v>
              </c:pt>
            </c:numLit>
          </c:yVal>
          <c:smooth val="0"/>
          <c:extLst>
            <c:ext xmlns:c16="http://schemas.microsoft.com/office/drawing/2014/chart" uri="{C3380CC4-5D6E-409C-BE32-E72D297353CC}">
              <c16:uniqueId val="{00000001-FB20-47BD-89DD-BDE675514303}"/>
            </c:ext>
          </c:extLst>
        </c:ser>
        <c:ser>
          <c:idx val="2"/>
          <c:order val="2"/>
          <c:spPr>
            <a:ln w="3175">
              <a:solidFill>
                <a:srgbClr val="000000"/>
              </a:solidFill>
              <a:prstDash val="solid"/>
            </a:ln>
          </c:spPr>
          <c:marker>
            <c:symbol val="none"/>
          </c:marker>
          <c:xVal>
            <c:numLit>
              <c:formatCode>General</c:formatCode>
              <c:ptCount val="2"/>
              <c:pt idx="0">
                <c:v>18.790543749866966</c:v>
              </c:pt>
              <c:pt idx="1">
                <c:v>18.596258512800294</c:v>
              </c:pt>
            </c:numLit>
          </c:xVal>
          <c:yVal>
            <c:numLit>
              <c:formatCode>General</c:formatCode>
              <c:ptCount val="2"/>
              <c:pt idx="0">
                <c:v>3.0736362467444784E-2</c:v>
              </c:pt>
              <c:pt idx="1">
                <c:v>3.0567287252488837E-2</c:v>
              </c:pt>
            </c:numLit>
          </c:yVal>
          <c:smooth val="0"/>
          <c:extLst>
            <c:ext xmlns:c16="http://schemas.microsoft.com/office/drawing/2014/chart" uri="{C3380CC4-5D6E-409C-BE32-E72D297353CC}">
              <c16:uniqueId val="{00000002-FB20-47BD-89DD-BDE675514303}"/>
            </c:ext>
          </c:extLst>
        </c:ser>
        <c:ser>
          <c:idx val="3"/>
          <c:order val="3"/>
          <c:spPr>
            <a:ln w="3175">
              <a:solidFill>
                <a:srgbClr val="000000"/>
              </a:solidFill>
              <a:prstDash val="solid"/>
            </a:ln>
          </c:spPr>
          <c:marker>
            <c:symbol val="none"/>
          </c:marker>
          <c:xVal>
            <c:numLit>
              <c:formatCode>General</c:formatCode>
              <c:ptCount val="2"/>
              <c:pt idx="0">
                <c:v>18.499745455246352</c:v>
              </c:pt>
              <c:pt idx="1">
                <c:v>18.121202508513718</c:v>
              </c:pt>
            </c:numLit>
          </c:xVal>
          <c:yVal>
            <c:numLit>
              <c:formatCode>General</c:formatCode>
              <c:ptCount val="2"/>
              <c:pt idx="0">
                <c:v>3.0915182575025162E-2</c:v>
              </c:pt>
              <c:pt idx="1">
                <c:v>3.0570865934507054E-2</c:v>
              </c:pt>
            </c:numLit>
          </c:yVal>
          <c:smooth val="0"/>
          <c:extLst>
            <c:ext xmlns:c16="http://schemas.microsoft.com/office/drawing/2014/chart" uri="{C3380CC4-5D6E-409C-BE32-E72D297353CC}">
              <c16:uniqueId val="{00000003-FB20-47BD-89DD-BDE675514303}"/>
            </c:ext>
          </c:extLst>
        </c:ser>
        <c:ser>
          <c:idx val="4"/>
          <c:order val="4"/>
          <c:spPr>
            <a:ln w="3175">
              <a:solidFill>
                <a:srgbClr val="000000"/>
              </a:solidFill>
              <a:prstDash val="solid"/>
            </a:ln>
          </c:spPr>
          <c:marker>
            <c:symbol val="none"/>
          </c:marker>
          <c:xVal>
            <c:numLit>
              <c:formatCode>General</c:formatCode>
              <c:ptCount val="2"/>
              <c:pt idx="0">
                <c:v>18.192821137276322</c:v>
              </c:pt>
              <c:pt idx="1">
                <c:v>18.008841462495695</c:v>
              </c:pt>
            </c:numLit>
          </c:xVal>
          <c:yVal>
            <c:numLit>
              <c:formatCode>General</c:formatCode>
              <c:ptCount val="2"/>
              <c:pt idx="0">
                <c:v>3.1095573924337105E-2</c:v>
              </c:pt>
              <c:pt idx="1">
                <c:v>3.092030540840026E-2</c:v>
              </c:pt>
            </c:numLit>
          </c:yVal>
          <c:smooth val="0"/>
          <c:extLst>
            <c:ext xmlns:c16="http://schemas.microsoft.com/office/drawing/2014/chart" uri="{C3380CC4-5D6E-409C-BE32-E72D297353CC}">
              <c16:uniqueId val="{00000004-FB20-47BD-89DD-BDE675514303}"/>
            </c:ext>
          </c:extLst>
        </c:ser>
        <c:ser>
          <c:idx val="5"/>
          <c:order val="5"/>
          <c:spPr>
            <a:ln w="3175">
              <a:solidFill>
                <a:srgbClr val="000000"/>
              </a:solidFill>
              <a:prstDash val="solid"/>
            </a:ln>
          </c:spPr>
          <c:marker>
            <c:symbol val="none"/>
          </c:marker>
          <c:xVal>
            <c:numLit>
              <c:formatCode>General</c:formatCode>
              <c:ptCount val="2"/>
              <c:pt idx="0">
                <c:v>17.869058802111013</c:v>
              </c:pt>
              <c:pt idx="1">
                <c:v>17.512263671003737</c:v>
              </c:pt>
            </c:numLit>
          </c:xVal>
          <c:yVal>
            <c:numLit>
              <c:formatCode>General</c:formatCode>
              <c:ptCount val="2"/>
              <c:pt idx="0">
                <c:v>3.1277058802111013E-2</c:v>
              </c:pt>
              <c:pt idx="1">
                <c:v>3.0920263671003735E-2</c:v>
              </c:pt>
            </c:numLit>
          </c:yVal>
          <c:smooth val="0"/>
          <c:extLst>
            <c:ext xmlns:c16="http://schemas.microsoft.com/office/drawing/2014/chart" uri="{C3380CC4-5D6E-409C-BE32-E72D297353CC}">
              <c16:uniqueId val="{00000005-FB20-47BD-89DD-BDE675514303}"/>
            </c:ext>
          </c:extLst>
        </c:ser>
        <c:ser>
          <c:idx val="6"/>
          <c:order val="6"/>
          <c:spPr>
            <a:ln w="3175">
              <a:solidFill>
                <a:srgbClr val="000000"/>
              </a:solidFill>
              <a:prstDash val="solid"/>
            </a:ln>
          </c:spPr>
          <c:marker>
            <c:symbol val="none"/>
          </c:marker>
          <c:xVal>
            <c:numLit>
              <c:formatCode>General</c:formatCode>
              <c:ptCount val="2"/>
              <c:pt idx="0">
                <c:v>17.527772872567621</c:v>
              </c:pt>
              <c:pt idx="1">
                <c:v>17.355259547178523</c:v>
              </c:pt>
            </c:numLit>
          </c:xVal>
          <c:yVal>
            <c:numLit>
              <c:formatCode>General</c:formatCode>
              <c:ptCount val="2"/>
              <c:pt idx="0">
                <c:v>3.145908735335045E-2</c:v>
              </c:pt>
              <c:pt idx="1">
                <c:v>3.1277551364499577E-2</c:v>
              </c:pt>
            </c:numLit>
          </c:yVal>
          <c:smooth val="0"/>
          <c:extLst>
            <c:ext xmlns:c16="http://schemas.microsoft.com/office/drawing/2014/chart" uri="{C3380CC4-5D6E-409C-BE32-E72D297353CC}">
              <c16:uniqueId val="{00000006-FB20-47BD-89DD-BDE675514303}"/>
            </c:ext>
          </c:extLst>
        </c:ser>
        <c:ser>
          <c:idx val="7"/>
          <c:order val="7"/>
          <c:spPr>
            <a:ln w="3175">
              <a:solidFill>
                <a:srgbClr val="000000"/>
              </a:solidFill>
              <a:prstDash val="solid"/>
            </a:ln>
          </c:spPr>
          <c:marker>
            <c:symbol val="none"/>
          </c:marker>
          <c:xVal>
            <c:numLit>
              <c:formatCode>General</c:formatCode>
              <c:ptCount val="2"/>
              <c:pt idx="0">
                <c:v>17.168318281619168</c:v>
              </c:pt>
              <c:pt idx="1">
                <c:v>16.83568661673575</c:v>
              </c:pt>
            </c:numLit>
          </c:xVal>
          <c:yVal>
            <c:numLit>
              <c:formatCode>General</c:formatCode>
              <c:ptCount val="2"/>
              <c:pt idx="0">
                <c:v>3.1641033323740492E-2</c:v>
              </c:pt>
              <c:pt idx="1">
                <c:v>3.1271687347059783E-2</c:v>
              </c:pt>
            </c:numLit>
          </c:yVal>
          <c:smooth val="0"/>
          <c:extLst>
            <c:ext xmlns:c16="http://schemas.microsoft.com/office/drawing/2014/chart" uri="{C3380CC4-5D6E-409C-BE32-E72D297353CC}">
              <c16:uniqueId val="{00000007-FB20-47BD-89DD-BDE675514303}"/>
            </c:ext>
          </c:extLst>
        </c:ser>
        <c:ser>
          <c:idx val="8"/>
          <c:order val="8"/>
          <c:spPr>
            <a:ln w="3175">
              <a:solidFill>
                <a:srgbClr val="000000"/>
              </a:solidFill>
              <a:prstDash val="solid"/>
            </a:ln>
          </c:spPr>
          <c:marker>
            <c:symbol val="none"/>
          </c:marker>
          <c:xVal>
            <c:numLit>
              <c:formatCode>General</c:formatCode>
              <c:ptCount val="2"/>
              <c:pt idx="0">
                <c:v>16.790106626063352</c:v>
              </c:pt>
              <c:pt idx="1">
                <c:v>16.630311684234673</c:v>
              </c:pt>
            </c:numLit>
          </c:xVal>
          <c:yVal>
            <c:numLit>
              <c:formatCode>General</c:formatCode>
              <c:ptCount val="2"/>
              <c:pt idx="0">
                <c:v>3.1822190731097821E-2</c:v>
              </c:pt>
              <c:pt idx="1">
                <c:v>3.1634394339182338E-2</c:v>
              </c:pt>
            </c:numLit>
          </c:yVal>
          <c:smooth val="0"/>
          <c:extLst>
            <c:ext xmlns:c16="http://schemas.microsoft.com/office/drawing/2014/chart" uri="{C3380CC4-5D6E-409C-BE32-E72D297353CC}">
              <c16:uniqueId val="{00000008-FB20-47BD-89DD-BDE675514303}"/>
            </c:ext>
          </c:extLst>
        </c:ser>
        <c:ser>
          <c:idx val="9"/>
          <c:order val="9"/>
          <c:spPr>
            <a:ln w="3175">
              <a:solidFill>
                <a:srgbClr val="000000"/>
              </a:solidFill>
              <a:prstDash val="solid"/>
            </a:ln>
          </c:spPr>
          <c:marker>
            <c:symbol val="none"/>
          </c:marker>
          <c:xVal>
            <c:numLit>
              <c:formatCode>General</c:formatCode>
              <c:ptCount val="2"/>
              <c:pt idx="0">
                <c:v>16.392624340635372</c:v>
              </c:pt>
              <c:pt idx="1">
                <c:v>16.086740742682426</c:v>
              </c:pt>
            </c:numLit>
          </c:xVal>
          <c:yVal>
            <c:numLit>
              <c:formatCode>General</c:formatCode>
              <c:ptCount val="2"/>
              <c:pt idx="0">
                <c:v>3.2001771819701222E-2</c:v>
              </c:pt>
              <c:pt idx="1">
                <c:v>3.1619986584539107E-2</c:v>
              </c:pt>
            </c:numLit>
          </c:yVal>
          <c:smooth val="0"/>
          <c:extLst>
            <c:ext xmlns:c16="http://schemas.microsoft.com/office/drawing/2014/chart" uri="{C3380CC4-5D6E-409C-BE32-E72D297353CC}">
              <c16:uniqueId val="{00000009-FB20-47BD-89DD-BDE675514303}"/>
            </c:ext>
          </c:extLst>
        </c:ser>
        <c:ser>
          <c:idx val="10"/>
          <c:order val="10"/>
          <c:spPr>
            <a:ln w="3175">
              <a:solidFill>
                <a:srgbClr val="000000"/>
              </a:solidFill>
              <a:prstDash val="solid"/>
            </a:ln>
          </c:spPr>
          <c:marker>
            <c:symbol val="none"/>
          </c:marker>
          <c:xVal>
            <c:numLit>
              <c:formatCode>General</c:formatCode>
              <c:ptCount val="2"/>
              <c:pt idx="0">
                <c:v>15.9754527418382</c:v>
              </c:pt>
              <c:pt idx="1">
                <c:v>15.829703556634092</c:v>
              </c:pt>
            </c:numLit>
          </c:xVal>
          <c:yVal>
            <c:numLit>
              <c:formatCode>General</c:formatCode>
              <c:ptCount val="2"/>
              <c:pt idx="0">
                <c:v>3.2178906690858773E-2</c:v>
              </c:pt>
              <c:pt idx="1">
                <c:v>3.1984960023775003E-2</c:v>
              </c:pt>
            </c:numLit>
          </c:yVal>
          <c:smooth val="0"/>
          <c:extLst>
            <c:ext xmlns:c16="http://schemas.microsoft.com/office/drawing/2014/chart" uri="{C3380CC4-5D6E-409C-BE32-E72D297353CC}">
              <c16:uniqueId val="{0000000A-FB20-47BD-89DD-BDE675514303}"/>
            </c:ext>
          </c:extLst>
        </c:ser>
        <c:ser>
          <c:idx val="11"/>
          <c:order val="11"/>
          <c:spPr>
            <a:ln w="3175">
              <a:solidFill>
                <a:srgbClr val="000000"/>
              </a:solidFill>
              <a:prstDash val="solid"/>
            </a:ln>
          </c:spPr>
          <c:marker>
            <c:symbol val="none"/>
          </c:marker>
          <c:xVal>
            <c:numLit>
              <c:formatCode>General</c:formatCode>
              <c:ptCount val="2"/>
              <c:pt idx="0">
                <c:v>15.538289652700842</c:v>
              </c:pt>
              <c:pt idx="1">
                <c:v>15.261865871573226</c:v>
              </c:pt>
            </c:numLit>
          </c:xVal>
          <c:yVal>
            <c:numLit>
              <c:formatCode>General</c:formatCode>
              <c:ptCount val="2"/>
              <c:pt idx="0">
                <c:v>3.2352645029202619E-2</c:v>
              </c:pt>
              <c:pt idx="1">
                <c:v>3.1958760717850802E-2</c:v>
              </c:pt>
            </c:numLit>
          </c:yVal>
          <c:smooth val="0"/>
          <c:extLst>
            <c:ext xmlns:c16="http://schemas.microsoft.com/office/drawing/2014/chart" uri="{C3380CC4-5D6E-409C-BE32-E72D297353CC}">
              <c16:uniqueId val="{0000000B-FB20-47BD-89DD-BDE675514303}"/>
            </c:ext>
          </c:extLst>
        </c:ser>
        <c:ser>
          <c:idx val="12"/>
          <c:order val="12"/>
          <c:spPr>
            <a:ln w="3175">
              <a:solidFill>
                <a:srgbClr val="000000"/>
              </a:solidFill>
              <a:prstDash val="solid"/>
            </a:ln>
          </c:spPr>
          <c:marker>
            <c:symbol val="none"/>
          </c:marker>
          <c:xVal>
            <c:numLit>
              <c:formatCode>General</c:formatCode>
              <c:ptCount val="2"/>
              <c:pt idx="0">
                <c:v>15.08097215642557</c:v>
              </c:pt>
              <c:pt idx="1">
                <c:v>14.950645050280301</c:v>
              </c:pt>
            </c:numLit>
          </c:xVal>
          <c:yVal>
            <c:numLit>
              <c:formatCode>General</c:formatCode>
              <c:ptCount val="2"/>
              <c:pt idx="0">
                <c:v>3.2521960349640437E-2</c:v>
              </c:pt>
              <c:pt idx="1">
                <c:v>3.2322098964301806E-2</c:v>
              </c:pt>
            </c:numLit>
          </c:yVal>
          <c:smooth val="0"/>
          <c:extLst>
            <c:ext xmlns:c16="http://schemas.microsoft.com/office/drawing/2014/chart" uri="{C3380CC4-5D6E-409C-BE32-E72D297353CC}">
              <c16:uniqueId val="{0000000C-FB20-47BD-89DD-BDE675514303}"/>
            </c:ext>
          </c:extLst>
        </c:ser>
        <c:ser>
          <c:idx val="13"/>
          <c:order val="13"/>
          <c:spPr>
            <a:ln w="3175">
              <a:solidFill>
                <a:srgbClr val="000000"/>
              </a:solidFill>
              <a:prstDash val="solid"/>
            </a:ln>
          </c:spPr>
          <c:marker>
            <c:symbol val="none"/>
          </c:marker>
          <c:xVal>
            <c:numLit>
              <c:formatCode>General</c:formatCode>
              <c:ptCount val="2"/>
              <c:pt idx="0">
                <c:v>14.603499843901423</c:v>
              </c:pt>
              <c:pt idx="1">
                <c:v>14.359310194111718</c:v>
              </c:pt>
            </c:numLit>
          </c:xVal>
          <c:yVal>
            <c:numLit>
              <c:formatCode>General</c:formatCode>
              <c:ptCount val="2"/>
              <c:pt idx="0">
                <c:v>3.2685757166608632E-2</c:v>
              </c:pt>
              <c:pt idx="1">
                <c:v>3.2280386229829018E-2</c:v>
              </c:pt>
            </c:numLit>
          </c:yVal>
          <c:smooth val="0"/>
          <c:extLst>
            <c:ext xmlns:c16="http://schemas.microsoft.com/office/drawing/2014/chart" uri="{C3380CC4-5D6E-409C-BE32-E72D297353CC}">
              <c16:uniqueId val="{0000000D-FB20-47BD-89DD-BDE675514303}"/>
            </c:ext>
          </c:extLst>
        </c:ser>
        <c:ser>
          <c:idx val="14"/>
          <c:order val="14"/>
          <c:spPr>
            <a:ln w="3175">
              <a:solidFill>
                <a:srgbClr val="000000"/>
              </a:solidFill>
              <a:prstDash val="solid"/>
            </a:ln>
          </c:spPr>
          <c:marker>
            <c:symbol val="none"/>
          </c:marker>
          <c:xVal>
            <c:numLit>
              <c:formatCode>General</c:formatCode>
              <c:ptCount val="2"/>
              <c:pt idx="0">
                <c:v>14.106057727229052</c:v>
              </c:pt>
              <c:pt idx="1">
                <c:v>13.992539490552689</c:v>
              </c:pt>
            </c:numLit>
          </c:xVal>
          <c:yVal>
            <c:numLit>
              <c:formatCode>General</c:formatCode>
              <c:ptCount val="2"/>
              <c:pt idx="0">
                <c:v>3.2842881427324513E-2</c:v>
              </c:pt>
              <c:pt idx="1">
                <c:v>3.2637486919956847E-2</c:v>
              </c:pt>
            </c:numLit>
          </c:yVal>
          <c:smooth val="0"/>
          <c:extLst>
            <c:ext xmlns:c16="http://schemas.microsoft.com/office/drawing/2014/chart" uri="{C3380CC4-5D6E-409C-BE32-E72D297353CC}">
              <c16:uniqueId val="{0000000E-FB20-47BD-89DD-BDE675514303}"/>
            </c:ext>
          </c:extLst>
        </c:ser>
        <c:ser>
          <c:idx val="15"/>
          <c:order val="15"/>
          <c:spPr>
            <a:ln w="3175">
              <a:solidFill>
                <a:srgbClr val="000000"/>
              </a:solidFill>
              <a:prstDash val="solid"/>
            </a:ln>
          </c:spPr>
          <c:marker>
            <c:symbol val="none"/>
          </c:marker>
          <c:xVal>
            <c:numLit>
              <c:formatCode>General</c:formatCode>
              <c:ptCount val="2"/>
              <c:pt idx="0">
                <c:v>13.589037803579986</c:v>
              </c:pt>
              <c:pt idx="1">
                <c:v>13.379829603456537</c:v>
              </c:pt>
            </c:numLit>
          </c:xVal>
          <c:yVal>
            <c:numLit>
              <c:formatCode>General</c:formatCode>
              <c:ptCount val="2"/>
              <c:pt idx="0">
                <c:v>3.2992134447433728E-2</c:v>
              </c:pt>
              <c:pt idx="1">
                <c:v>3.2576198776832564E-2</c:v>
              </c:pt>
            </c:numLit>
          </c:yVal>
          <c:smooth val="0"/>
          <c:extLst>
            <c:ext xmlns:c16="http://schemas.microsoft.com/office/drawing/2014/chart" uri="{C3380CC4-5D6E-409C-BE32-E72D297353CC}">
              <c16:uniqueId val="{0000000F-FB20-47BD-89DD-BDE675514303}"/>
            </c:ext>
          </c:extLst>
        </c:ser>
        <c:ser>
          <c:idx val="16"/>
          <c:order val="16"/>
          <c:spPr>
            <a:ln w="3175">
              <a:solidFill>
                <a:srgbClr val="000000"/>
              </a:solidFill>
              <a:prstDash val="solid"/>
            </a:ln>
          </c:spPr>
          <c:marker>
            <c:symbol val="none"/>
          </c:marker>
          <c:xVal>
            <c:numLit>
              <c:formatCode>General</c:formatCode>
              <c:ptCount val="2"/>
              <c:pt idx="0">
                <c:v>13.053058090665036</c:v>
              </c:pt>
              <c:pt idx="1">
                <c:v>12.957695020136329</c:v>
              </c:pt>
            </c:numLit>
          </c:xVal>
          <c:yVal>
            <c:numLit>
              <c:formatCode>General</c:formatCode>
              <c:ptCount val="2"/>
              <c:pt idx="0">
                <c:v>3.3132290436861909E-2</c:v>
              </c:pt>
              <c:pt idx="1">
                <c:v>3.2921906118984975E-2</c:v>
              </c:pt>
            </c:numLit>
          </c:yVal>
          <c:smooth val="0"/>
          <c:extLst>
            <c:ext xmlns:c16="http://schemas.microsoft.com/office/drawing/2014/chart" uri="{C3380CC4-5D6E-409C-BE32-E72D297353CC}">
              <c16:uniqueId val="{00000010-FB20-47BD-89DD-BDE675514303}"/>
            </c:ext>
          </c:extLst>
        </c:ser>
        <c:ser>
          <c:idx val="17"/>
          <c:order val="17"/>
          <c:spPr>
            <a:ln w="3175">
              <a:solidFill>
                <a:srgbClr val="000000"/>
              </a:solidFill>
              <a:prstDash val="solid"/>
            </a:ln>
          </c:spPr>
          <c:marker>
            <c:symbol val="none"/>
          </c:marker>
          <c:xVal>
            <c:numLit>
              <c:formatCode>General</c:formatCode>
              <c:ptCount val="2"/>
              <c:pt idx="0">
                <c:v>12.498977840522226</c:v>
              </c:pt>
              <c:pt idx="1">
                <c:v>12.327357914986976</c:v>
              </c:pt>
            </c:numLit>
          </c:xVal>
          <c:yVal>
            <c:numLit>
              <c:formatCode>General</c:formatCode>
              <c:ptCount val="2"/>
              <c:pt idx="0">
                <c:v>3.3262117506318627E-2</c:v>
              </c:pt>
              <c:pt idx="1">
                <c:v>3.2836872075066262E-2</c:v>
              </c:pt>
            </c:numLit>
          </c:yVal>
          <c:smooth val="0"/>
          <c:extLst>
            <c:ext xmlns:c16="http://schemas.microsoft.com/office/drawing/2014/chart" uri="{C3380CC4-5D6E-409C-BE32-E72D297353CC}">
              <c16:uniqueId val="{00000011-FB20-47BD-89DD-BDE675514303}"/>
            </c:ext>
          </c:extLst>
        </c:ser>
        <c:ser>
          <c:idx val="18"/>
          <c:order val="18"/>
          <c:spPr>
            <a:ln w="3175">
              <a:solidFill>
                <a:srgbClr val="000000"/>
              </a:solidFill>
              <a:prstDash val="solid"/>
            </a:ln>
          </c:spPr>
          <c:marker>
            <c:symbol val="none"/>
          </c:marker>
          <c:xVal>
            <c:numLit>
              <c:formatCode>General</c:formatCode>
              <c:ptCount val="2"/>
              <c:pt idx="0">
                <c:v>11.927907597824111</c:v>
              </c:pt>
              <c:pt idx="1">
                <c:v>11.851943673723694</c:v>
              </c:pt>
            </c:numLit>
          </c:xVal>
          <c:yVal>
            <c:numLit>
              <c:formatCode>General</c:formatCode>
              <c:ptCount val="2"/>
              <c:pt idx="0">
                <c:v>3.3380401807334426E-2</c:v>
              </c:pt>
              <c:pt idx="1">
                <c:v>3.3165739707207965E-2</c:v>
              </c:pt>
            </c:numLit>
          </c:yVal>
          <c:smooth val="0"/>
          <c:extLst>
            <c:ext xmlns:c16="http://schemas.microsoft.com/office/drawing/2014/chart" uri="{C3380CC4-5D6E-409C-BE32-E72D297353CC}">
              <c16:uniqueId val="{00000012-FB20-47BD-89DD-BDE675514303}"/>
            </c:ext>
          </c:extLst>
        </c:ser>
        <c:ser>
          <c:idx val="19"/>
          <c:order val="19"/>
          <c:spPr>
            <a:ln w="3175">
              <a:solidFill>
                <a:srgbClr val="000000"/>
              </a:solidFill>
              <a:prstDash val="solid"/>
            </a:ln>
          </c:spPr>
          <c:marker>
            <c:symbol val="none"/>
          </c:marker>
          <c:xVal>
            <c:numLit>
              <c:formatCode>General</c:formatCode>
              <c:ptCount val="2"/>
              <c:pt idx="0">
                <c:v>11.341212826619152</c:v>
              </c:pt>
              <c:pt idx="1">
                <c:v>11.209515832597802</c:v>
              </c:pt>
            </c:numLit>
          </c:xVal>
          <c:yVal>
            <c:numLit>
              <c:formatCode>General</c:formatCode>
              <c:ptCount val="2"/>
              <c:pt idx="0">
                <c:v>3.348597419470218E-2</c:v>
              </c:pt>
              <c:pt idx="1">
                <c:v>3.3053009567298661E-2</c:v>
              </c:pt>
            </c:numLit>
          </c:yVal>
          <c:smooth val="0"/>
          <c:extLst>
            <c:ext xmlns:c16="http://schemas.microsoft.com/office/drawing/2014/chart" uri="{C3380CC4-5D6E-409C-BE32-E72D297353CC}">
              <c16:uniqueId val="{00000013-FB20-47BD-89DD-BDE675514303}"/>
            </c:ext>
          </c:extLst>
        </c:ser>
        <c:ser>
          <c:idx val="20"/>
          <c:order val="20"/>
          <c:spPr>
            <a:ln w="3175">
              <a:solidFill>
                <a:srgbClr val="000000"/>
              </a:solidFill>
              <a:prstDash val="solid"/>
            </a:ln>
          </c:spPr>
          <c:marker>
            <c:symbol val="none"/>
          </c:marker>
          <c:xVal>
            <c:numLit>
              <c:formatCode>General</c:formatCode>
              <c:ptCount val="2"/>
              <c:pt idx="0">
                <c:v>10.740510003894533</c:v>
              </c:pt>
              <c:pt idx="1">
                <c:v>10.685018452103247</c:v>
              </c:pt>
            </c:numLit>
          </c:xVal>
          <c:yVal>
            <c:numLit>
              <c:formatCode>General</c:formatCode>
              <c:ptCount val="2"/>
              <c:pt idx="0">
                <c:v>3.3577738530929296E-2</c:v>
              </c:pt>
              <c:pt idx="1">
                <c:v>3.3359674073499483E-2</c:v>
              </c:pt>
            </c:numLit>
          </c:yVal>
          <c:smooth val="0"/>
          <c:extLst>
            <c:ext xmlns:c16="http://schemas.microsoft.com/office/drawing/2014/chart" uri="{C3380CC4-5D6E-409C-BE32-E72D297353CC}">
              <c16:uniqueId val="{00000014-FB20-47BD-89DD-BDE675514303}"/>
            </c:ext>
          </c:extLst>
        </c:ser>
        <c:ser>
          <c:idx val="21"/>
          <c:order val="21"/>
          <c:spPr>
            <a:ln w="3175">
              <a:solidFill>
                <a:srgbClr val="000000"/>
              </a:solidFill>
              <a:prstDash val="solid"/>
            </a:ln>
          </c:spPr>
          <c:marker>
            <c:symbol val="none"/>
          </c:marker>
          <c:xVal>
            <c:numLit>
              <c:formatCode>General</c:formatCode>
              <c:ptCount val="2"/>
              <c:pt idx="0">
                <c:v>10.127654377823859</c:v>
              </c:pt>
              <c:pt idx="1">
                <c:v>10.037804226864415</c:v>
              </c:pt>
            </c:numLit>
          </c:xVal>
          <c:yVal>
            <c:numLit>
              <c:formatCode>General</c:formatCode>
              <c:ptCount val="2"/>
              <c:pt idx="0">
                <c:v>3.3654700505295149E-2</c:v>
              </c:pt>
              <c:pt idx="1">
                <c:v>3.3215917729250491E-2</c:v>
              </c:pt>
            </c:numLit>
          </c:yVal>
          <c:smooth val="0"/>
          <c:extLst>
            <c:ext xmlns:c16="http://schemas.microsoft.com/office/drawing/2014/chart" uri="{C3380CC4-5D6E-409C-BE32-E72D297353CC}">
              <c16:uniqueId val="{00000015-FB20-47BD-89DD-BDE675514303}"/>
            </c:ext>
          </c:extLst>
        </c:ser>
        <c:ser>
          <c:idx val="22"/>
          <c:order val="22"/>
          <c:spPr>
            <a:ln w="3175">
              <a:solidFill>
                <a:srgbClr val="000000"/>
              </a:solidFill>
              <a:prstDash val="solid"/>
            </a:ln>
          </c:spPr>
          <c:marker>
            <c:symbol val="none"/>
          </c:marker>
          <c:xVal>
            <c:numLit>
              <c:formatCode>General</c:formatCode>
              <c:ptCount val="2"/>
              <c:pt idx="0">
                <c:v>9.5047190068155949</c:v>
              </c:pt>
              <c:pt idx="1">
                <c:v>9.4705341963532561</c:v>
              </c:pt>
            </c:numLit>
          </c:xVal>
          <c:yVal>
            <c:numLit>
              <c:formatCode>General</c:formatCode>
              <c:ptCount val="2"/>
              <c:pt idx="0">
                <c:v>3.3715995646515944E-2</c:v>
              </c:pt>
              <c:pt idx="1">
                <c:v>3.3495547445713945E-2</c:v>
              </c:pt>
            </c:numLit>
          </c:yVal>
          <c:smooth val="0"/>
          <c:extLst>
            <c:ext xmlns:c16="http://schemas.microsoft.com/office/drawing/2014/chart" uri="{C3380CC4-5D6E-409C-BE32-E72D297353CC}">
              <c16:uniqueId val="{00000016-FB20-47BD-89DD-BDE675514303}"/>
            </c:ext>
          </c:extLst>
        </c:ser>
        <c:ser>
          <c:idx val="23"/>
          <c:order val="23"/>
          <c:spPr>
            <a:ln w="3175">
              <a:solidFill>
                <a:srgbClr val="000000"/>
              </a:solidFill>
              <a:prstDash val="solid"/>
            </a:ln>
          </c:spPr>
          <c:marker>
            <c:symbol val="none"/>
          </c:marker>
          <c:xVal>
            <c:numLit>
              <c:formatCode>General</c:formatCode>
              <c:ptCount val="2"/>
              <c:pt idx="0">
                <c:v>8.8739652091894179</c:v>
              </c:pt>
              <c:pt idx="1">
                <c:v>8.8273457192173677</c:v>
              </c:pt>
            </c:numLit>
          </c:xVal>
          <c:yVal>
            <c:numLit>
              <c:formatCode>General</c:formatCode>
              <c:ptCount val="2"/>
              <c:pt idx="0">
                <c:v>3.3760915098533552E-2</c:v>
              </c:pt>
              <c:pt idx="1">
                <c:v>3.3318469750308249E-2</c:v>
              </c:pt>
            </c:numLit>
          </c:yVal>
          <c:smooth val="0"/>
          <c:extLst>
            <c:ext xmlns:c16="http://schemas.microsoft.com/office/drawing/2014/chart" uri="{C3380CC4-5D6E-409C-BE32-E72D297353CC}">
              <c16:uniqueId val="{00000017-FB20-47BD-89DD-BDE675514303}"/>
            </c:ext>
          </c:extLst>
        </c:ser>
        <c:ser>
          <c:idx val="24"/>
          <c:order val="24"/>
          <c:spPr>
            <a:ln w="3175">
              <a:solidFill>
                <a:srgbClr val="000000"/>
              </a:solidFill>
              <a:prstDash val="solid"/>
            </a:ln>
          </c:spPr>
          <c:marker>
            <c:symbol val="none"/>
          </c:marker>
          <c:xVal>
            <c:numLit>
              <c:formatCode>General</c:formatCode>
              <c:ptCount val="2"/>
              <c:pt idx="0">
                <c:v>8.2378051220730821</c:v>
              </c:pt>
              <c:pt idx="1">
                <c:v>8.225463654451131</c:v>
              </c:pt>
            </c:numLit>
          </c:xVal>
          <c:yVal>
            <c:numLit>
              <c:formatCode>General</c:formatCode>
              <c:ptCount val="2"/>
              <c:pt idx="0">
                <c:v>3.378892772867001E-2</c:v>
              </c:pt>
              <c:pt idx="1">
                <c:v>3.3567222078175703E-2</c:v>
              </c:pt>
            </c:numLit>
          </c:yVal>
          <c:smooth val="0"/>
          <c:extLst>
            <c:ext xmlns:c16="http://schemas.microsoft.com/office/drawing/2014/chart" uri="{C3380CC4-5D6E-409C-BE32-E72D297353CC}">
              <c16:uniqueId val="{00000018-FB20-47BD-89DD-BDE675514303}"/>
            </c:ext>
          </c:extLst>
        </c:ser>
        <c:ser>
          <c:idx val="25"/>
          <c:order val="25"/>
          <c:spPr>
            <a:ln w="3175">
              <a:solidFill>
                <a:srgbClr val="000000"/>
              </a:solidFill>
              <a:prstDash val="solid"/>
            </a:ln>
          </c:spPr>
          <c:marker>
            <c:symbol val="none"/>
          </c:marker>
          <c:xVal>
            <c:numLit>
              <c:formatCode>General</c:formatCode>
              <c:ptCount val="2"/>
              <c:pt idx="0">
                <c:v>7.5987576377376911</c:v>
              </c:pt>
              <c:pt idx="1">
                <c:v>7.5961108226432881</c:v>
              </c:pt>
            </c:numLit>
          </c:xVal>
          <c:yVal>
            <c:numLit>
              <c:formatCode>General</c:formatCode>
              <c:ptCount val="2"/>
              <c:pt idx="0">
                <c:v>3.3799697260686282E-2</c:v>
              </c:pt>
              <c:pt idx="1">
                <c:v>3.3355914596524684E-2</c:v>
              </c:pt>
            </c:numLit>
          </c:yVal>
          <c:smooth val="0"/>
          <c:extLst>
            <c:ext xmlns:c16="http://schemas.microsoft.com/office/drawing/2014/chart" uri="{C3380CC4-5D6E-409C-BE32-E72D297353CC}">
              <c16:uniqueId val="{00000019-FB20-47BD-89DD-BDE675514303}"/>
            </c:ext>
          </c:extLst>
        </c:ser>
        <c:ser>
          <c:idx val="26"/>
          <c:order val="26"/>
          <c:spPr>
            <a:ln w="3175">
              <a:solidFill>
                <a:srgbClr val="000000"/>
              </a:solidFill>
              <a:prstDash val="solid"/>
            </a:ln>
          </c:spPr>
          <c:marker>
            <c:symbol val="none"/>
          </c:marker>
          <c:xVal>
            <c:numLit>
              <c:formatCode>General</c:formatCode>
              <c:ptCount val="2"/>
              <c:pt idx="0">
                <c:v>6.9593994946761999</c:v>
              </c:pt>
              <c:pt idx="1">
                <c:v>6.9690995033886791</c:v>
              </c:pt>
            </c:numLit>
          </c:xVal>
          <c:yVal>
            <c:numLit>
              <c:formatCode>General</c:formatCode>
              <c:ptCount val="2"/>
              <c:pt idx="0">
                <c:v>3.3793093371721462E-2</c:v>
              </c:pt>
              <c:pt idx="1">
                <c:v>3.3571315899795236E-2</c:v>
              </c:pt>
            </c:numLit>
          </c:yVal>
          <c:smooth val="0"/>
          <c:extLst>
            <c:ext xmlns:c16="http://schemas.microsoft.com/office/drawing/2014/chart" uri="{C3380CC4-5D6E-409C-BE32-E72D297353CC}">
              <c16:uniqueId val="{0000001A-FB20-47BD-89DD-BDE675514303}"/>
            </c:ext>
          </c:extLst>
        </c:ser>
        <c:ser>
          <c:idx val="27"/>
          <c:order val="27"/>
          <c:spPr>
            <a:ln w="3175">
              <a:solidFill>
                <a:srgbClr val="000000"/>
              </a:solidFill>
              <a:prstDash val="solid"/>
            </a:ln>
          </c:spPr>
          <c:marker>
            <c:symbol val="none"/>
          </c:marker>
          <c:xVal>
            <c:numLit>
              <c:formatCode>General</c:formatCode>
              <c:ptCount val="2"/>
              <c:pt idx="0">
                <c:v>6.3223136896666619</c:v>
              </c:pt>
              <c:pt idx="1">
                <c:v>6.363682183126433</c:v>
              </c:pt>
            </c:numLit>
          </c:xVal>
          <c:yVal>
            <c:numLit>
              <c:formatCode>General</c:formatCode>
              <c:ptCount val="2"/>
              <c:pt idx="0">
                <c:v>3.3769196044631293E-2</c:v>
              </c:pt>
              <c:pt idx="1">
                <c:v>3.3326465146540557E-2</c:v>
              </c:pt>
            </c:numLit>
          </c:yVal>
          <c:smooth val="0"/>
          <c:extLst>
            <c:ext xmlns:c16="http://schemas.microsoft.com/office/drawing/2014/chart" uri="{C3380CC4-5D6E-409C-BE32-E72D297353CC}">
              <c16:uniqueId val="{0000001B-FB20-47BD-89DD-BDE675514303}"/>
            </c:ext>
          </c:extLst>
        </c:ser>
        <c:ser>
          <c:idx val="28"/>
          <c:order val="28"/>
          <c:spPr>
            <a:ln w="3175">
              <a:solidFill>
                <a:srgbClr val="000000"/>
              </a:solidFill>
              <a:prstDash val="solid"/>
            </a:ln>
          </c:spPr>
          <c:marker>
            <c:symbol val="none"/>
          </c:marker>
          <c:xVal>
            <c:numLit>
              <c:formatCode>General</c:formatCode>
              <c:ptCount val="2"/>
              <c:pt idx="0">
                <c:v>5.690037597761866</c:v>
              </c:pt>
              <c:pt idx="1">
                <c:v>5.7216231564211437</c:v>
              </c:pt>
            </c:numLit>
          </c:xVal>
          <c:yVal>
            <c:numLit>
              <c:formatCode>General</c:formatCode>
              <c:ptCount val="2"/>
              <c:pt idx="0">
                <c:v>3.3728292893413635E-2</c:v>
              </c:pt>
              <c:pt idx="1">
                <c:v>3.3507632671113403E-2</c:v>
              </c:pt>
            </c:numLit>
          </c:yVal>
          <c:smooth val="0"/>
          <c:extLst>
            <c:ext xmlns:c16="http://schemas.microsoft.com/office/drawing/2014/chart" uri="{C3380CC4-5D6E-409C-BE32-E72D297353CC}">
              <c16:uniqueId val="{0000001C-FB20-47BD-89DD-BDE675514303}"/>
            </c:ext>
          </c:extLst>
        </c:ser>
        <c:ser>
          <c:idx val="29"/>
          <c:order val="29"/>
          <c:spPr>
            <a:ln w="3175">
              <a:solidFill>
                <a:srgbClr val="000000"/>
              </a:solidFill>
              <a:prstDash val="solid"/>
            </a:ln>
          </c:spPr>
          <c:marker>
            <c:symbol val="none"/>
          </c:marker>
          <c:xVal>
            <c:numLit>
              <c:formatCode>General</c:formatCode>
              <c:ptCount val="2"/>
              <c:pt idx="0">
                <c:v>5.0650132114445139</c:v>
              </c:pt>
              <c:pt idx="1">
                <c:v>5.1497368938084964</c:v>
              </c:pt>
            </c:numLit>
          </c:xVal>
          <c:yVal>
            <c:numLit>
              <c:formatCode>General</c:formatCode>
              <c:ptCount val="2"/>
              <c:pt idx="0">
                <c:v>3.3670869635499083E-2</c:v>
              </c:pt>
              <c:pt idx="1">
                <c:v>3.3231529303240491E-2</c:v>
              </c:pt>
            </c:numLit>
          </c:yVal>
          <c:smooth val="0"/>
          <c:extLst>
            <c:ext xmlns:c16="http://schemas.microsoft.com/office/drawing/2014/chart" uri="{C3380CC4-5D6E-409C-BE32-E72D297353CC}">
              <c16:uniqueId val="{0000001D-FB20-47BD-89DD-BDE675514303}"/>
            </c:ext>
          </c:extLst>
        </c:ser>
        <c:ser>
          <c:idx val="30"/>
          <c:order val="30"/>
          <c:spPr>
            <a:ln w="3175">
              <a:solidFill>
                <a:srgbClr val="000000"/>
              </a:solidFill>
              <a:prstDash val="solid"/>
            </a:ln>
          </c:spPr>
          <c:marker>
            <c:symbol val="none"/>
          </c:marker>
          <c:xVal>
            <c:numLit>
              <c:formatCode>General</c:formatCode>
              <c:ptCount val="2"/>
              <c:pt idx="0">
                <c:v>4.4495417349447202</c:v>
              </c:pt>
              <c:pt idx="1">
                <c:v>4.5025151533077423</c:v>
              </c:pt>
            </c:numLit>
          </c:xVal>
          <c:yVal>
            <c:numLit>
              <c:formatCode>General</c:formatCode>
              <c:ptCount val="2"/>
              <c:pt idx="0">
                <c:v>3.3597594322318097E-2</c:v>
              </c:pt>
              <c:pt idx="1">
                <c:v>3.3379187523657441E-2</c:v>
              </c:pt>
            </c:numLit>
          </c:yVal>
          <c:smooth val="0"/>
          <c:extLst>
            <c:ext xmlns:c16="http://schemas.microsoft.com/office/drawing/2014/chart" uri="{C3380CC4-5D6E-409C-BE32-E72D297353CC}">
              <c16:uniqueId val="{0000001E-FB20-47BD-89DD-BDE675514303}"/>
            </c:ext>
          </c:extLst>
        </c:ser>
        <c:ser>
          <c:idx val="31"/>
          <c:order val="31"/>
          <c:spPr>
            <a:ln w="3175">
              <a:solidFill>
                <a:srgbClr val="000000"/>
              </a:solidFill>
              <a:prstDash val="solid"/>
            </a:ln>
          </c:spPr>
          <c:marker>
            <c:symbol val="none"/>
          </c:marker>
          <c:xVal>
            <c:numLit>
              <c:formatCode>General</c:formatCode>
              <c:ptCount val="2"/>
              <c:pt idx="0">
                <c:v>3.8457444174013791</c:v>
              </c:pt>
              <c:pt idx="1">
                <c:v>3.9725118512840907</c:v>
              </c:pt>
            </c:numLit>
          </c:xVal>
          <c:yVal>
            <c:numLit>
              <c:formatCode>General</c:formatCode>
              <c:ptCount val="2"/>
              <c:pt idx="0">
                <c:v>3.3509296313245625E-2</c:v>
              </c:pt>
              <c:pt idx="1">
                <c:v>3.3075527474857841E-2</c:v>
              </c:pt>
            </c:numLit>
          </c:yVal>
          <c:smooth val="0"/>
          <c:extLst>
            <c:ext xmlns:c16="http://schemas.microsoft.com/office/drawing/2014/chart" uri="{C3380CC4-5D6E-409C-BE32-E72D297353CC}">
              <c16:uniqueId val="{0000001F-FB20-47BD-89DD-BDE675514303}"/>
            </c:ext>
          </c:extLst>
        </c:ser>
        <c:ser>
          <c:idx val="32"/>
          <c:order val="32"/>
          <c:spPr>
            <a:ln w="3175">
              <a:solidFill>
                <a:srgbClr val="000000"/>
              </a:solidFill>
              <a:prstDash val="solid"/>
            </a:ln>
          </c:spPr>
          <c:marker>
            <c:symbol val="none"/>
          </c:marker>
          <c:xVal>
            <c:numLit>
              <c:formatCode>General</c:formatCode>
              <c:ptCount val="2"/>
              <c:pt idx="0">
                <c:v>3.255531023136959</c:v>
              </c:pt>
              <c:pt idx="1">
                <c:v>3.3290908330828737</c:v>
              </c:pt>
            </c:numLit>
          </c:xVal>
          <c:yVal>
            <c:numLit>
              <c:formatCode>General</c:formatCode>
              <c:ptCount val="2"/>
              <c:pt idx="0">
                <c:v>3.3406941252105297E-2</c:v>
              </c:pt>
              <c:pt idx="1">
                <c:v>3.3191821575344858E-2</c:v>
              </c:pt>
            </c:numLit>
          </c:yVal>
          <c:smooth val="0"/>
          <c:extLst>
            <c:ext xmlns:c16="http://schemas.microsoft.com/office/drawing/2014/chart" uri="{C3380CC4-5D6E-409C-BE32-E72D297353CC}">
              <c16:uniqueId val="{00000020-FB20-47BD-89DD-BDE675514303}"/>
            </c:ext>
          </c:extLst>
        </c:ser>
        <c:ser>
          <c:idx val="33"/>
          <c:order val="33"/>
          <c:spPr>
            <a:ln w="3175">
              <a:solidFill>
                <a:srgbClr val="000000"/>
              </a:solidFill>
              <a:prstDash val="solid"/>
            </a:ln>
          </c:spPr>
          <c:marker>
            <c:symbol val="none"/>
          </c:marker>
          <c:xVal>
            <c:numLit>
              <c:formatCode>General</c:formatCode>
              <c:ptCount val="2"/>
              <c:pt idx="0">
                <c:v>2.6805767765256308</c:v>
              </c:pt>
              <c:pt idx="1">
                <c:v>2.8475224049212988</c:v>
              </c:pt>
            </c:numLit>
          </c:xVal>
          <c:yVal>
            <c:numLit>
              <c:formatCode>General</c:formatCode>
              <c:ptCount val="2"/>
              <c:pt idx="0">
                <c:v>3.3291603458921876E-2</c:v>
              </c:pt>
              <c:pt idx="1">
                <c:v>3.286534127068319E-2</c:v>
              </c:pt>
            </c:numLit>
          </c:yVal>
          <c:smooth val="0"/>
          <c:extLst>
            <c:ext xmlns:c16="http://schemas.microsoft.com/office/drawing/2014/chart" uri="{C3380CC4-5D6E-409C-BE32-E72D297353CC}">
              <c16:uniqueId val="{00000021-FB20-47BD-89DD-BDE675514303}"/>
            </c:ext>
          </c:extLst>
        </c:ser>
        <c:ser>
          <c:idx val="34"/>
          <c:order val="34"/>
          <c:spPr>
            <a:ln w="3175">
              <a:solidFill>
                <a:srgbClr val="000000"/>
              </a:solidFill>
              <a:prstDash val="solid"/>
            </a:ln>
          </c:spPr>
          <c:marker>
            <c:symbol val="none"/>
          </c:marker>
          <c:xVal>
            <c:numLit>
              <c:formatCode>General</c:formatCode>
              <c:ptCount val="2"/>
              <c:pt idx="0">
                <c:v>2.1223080446173976</c:v>
              </c:pt>
              <c:pt idx="1">
                <c:v>2.215406181779167</c:v>
              </c:pt>
            </c:numLit>
          </c:xVal>
          <c:yVal>
            <c:numLit>
              <c:formatCode>General</c:formatCode>
              <c:ptCount val="2"/>
              <c:pt idx="0">
                <c:v>3.3164437178186706E-2</c:v>
              </c:pt>
              <c:pt idx="1">
                <c:v>3.2953498606149004E-2</c:v>
              </c:pt>
            </c:numLit>
          </c:yVal>
          <c:smooth val="0"/>
          <c:extLst>
            <c:ext xmlns:c16="http://schemas.microsoft.com/office/drawing/2014/chart" uri="{C3380CC4-5D6E-409C-BE32-E72D297353CC}">
              <c16:uniqueId val="{00000022-FB20-47BD-89DD-BDE675514303}"/>
            </c:ext>
          </c:extLst>
        </c:ser>
        <c:ser>
          <c:idx val="35"/>
          <c:order val="35"/>
          <c:spPr>
            <a:ln w="3175">
              <a:solidFill>
                <a:srgbClr val="000000"/>
              </a:solidFill>
              <a:prstDash val="solid"/>
            </a:ln>
          </c:spPr>
          <c:marker>
            <c:symbol val="none"/>
          </c:marker>
          <c:xVal>
            <c:numLit>
              <c:formatCode>General</c:formatCode>
              <c:ptCount val="2"/>
              <c:pt idx="0">
                <c:v>1.5818964894711631</c:v>
              </c:pt>
              <c:pt idx="1">
                <c:v>1.7867276450066407</c:v>
              </c:pt>
            </c:numLit>
          </c:xVal>
          <c:yVal>
            <c:numLit>
              <c:formatCode>General</c:formatCode>
              <c:ptCount val="2"/>
              <c:pt idx="0">
                <c:v>3.3026648039659948E-2</c:v>
              </c:pt>
              <c:pt idx="1">
                <c:v>3.2609522245188913E-2</c:v>
              </c:pt>
            </c:numLit>
          </c:yVal>
          <c:smooth val="0"/>
          <c:extLst>
            <c:ext xmlns:c16="http://schemas.microsoft.com/office/drawing/2014/chart" uri="{C3380CC4-5D6E-409C-BE32-E72D297353CC}">
              <c16:uniqueId val="{00000023-FB20-47BD-89DD-BDE675514303}"/>
            </c:ext>
          </c:extLst>
        </c:ser>
        <c:ser>
          <c:idx val="36"/>
          <c:order val="36"/>
          <c:spPr>
            <a:ln w="3175">
              <a:solidFill>
                <a:srgbClr val="000000"/>
              </a:solidFill>
              <a:prstDash val="solid"/>
            </a:ln>
          </c:spPr>
          <c:marker>
            <c:symbol val="none"/>
          </c:marker>
          <c:xVal>
            <c:numLit>
              <c:formatCode>General</c:formatCode>
              <c:ptCount val="2"/>
              <c:pt idx="0">
                <c:v>1.0602609781934789</c:v>
              </c:pt>
              <c:pt idx="1">
                <c:v>1.1716702716729019</c:v>
              </c:pt>
            </c:numLit>
          </c:xVal>
          <c:yVal>
            <c:numLit>
              <c:formatCode>General</c:formatCode>
              <c:ptCount val="2"/>
              <c:pt idx="0">
                <c:v>3.2879465911649565E-2</c:v>
              </c:pt>
              <c:pt idx="1">
                <c:v>3.2673440637310779E-2</c:v>
              </c:pt>
            </c:numLit>
          </c:yVal>
          <c:smooth val="0"/>
          <c:extLst>
            <c:ext xmlns:c16="http://schemas.microsoft.com/office/drawing/2014/chart" uri="{C3380CC4-5D6E-409C-BE32-E72D297353CC}">
              <c16:uniqueId val="{00000024-FB20-47BD-89DD-BDE675514303}"/>
            </c:ext>
          </c:extLst>
        </c:ser>
        <c:ser>
          <c:idx val="37"/>
          <c:order val="37"/>
          <c:spPr>
            <a:ln w="3175">
              <a:solidFill>
                <a:srgbClr val="000000"/>
              </a:solidFill>
              <a:prstDash val="solid"/>
            </a:ln>
          </c:spPr>
          <c:marker>
            <c:symbol val="none"/>
          </c:marker>
          <c:xVal>
            <c:numLit>
              <c:formatCode>General</c:formatCode>
              <c:ptCount val="2"/>
              <c:pt idx="0">
                <c:v>0.55807620951249115</c:v>
              </c:pt>
              <c:pt idx="1">
                <c:v>0.79821151263275059</c:v>
              </c:pt>
            </c:numLit>
          </c:xVal>
          <c:yVal>
            <c:numLit>
              <c:formatCode>General</c:formatCode>
              <c:ptCount val="2"/>
              <c:pt idx="0">
                <c:v>3.2724120089613527E-2</c:v>
              </c:pt>
              <c:pt idx="1">
                <c:v>3.2317426293419958E-2</c:v>
              </c:pt>
            </c:numLit>
          </c:yVal>
          <c:smooth val="0"/>
          <c:extLst>
            <c:ext xmlns:c16="http://schemas.microsoft.com/office/drawing/2014/chart" uri="{C3380CC4-5D6E-409C-BE32-E72D297353CC}">
              <c16:uniqueId val="{00000025-FB20-47BD-89DD-BDE675514303}"/>
            </c:ext>
          </c:extLst>
        </c:ser>
        <c:ser>
          <c:idx val="38"/>
          <c:order val="38"/>
          <c:spPr>
            <a:ln w="3175">
              <a:solidFill>
                <a:srgbClr val="000000"/>
              </a:solidFill>
              <a:prstDash val="solid"/>
            </a:ln>
          </c:spPr>
          <c:marker>
            <c:symbol val="none"/>
          </c:marker>
          <c:xVal>
            <c:numLit>
              <c:formatCode>General</c:formatCode>
              <c:ptCount val="2"/>
              <c:pt idx="0">
                <c:v>7.5786811510906382E-2</c:v>
              </c:pt>
              <c:pt idx="1">
                <c:v>0.20416979751933934</c:v>
              </c:pt>
            </c:numLit>
          </c:xVal>
          <c:yVal>
            <c:numLit>
              <c:formatCode>General</c:formatCode>
              <c:ptCount val="2"/>
              <c:pt idx="0">
                <c:v>3.2561817496304393E-2</c:v>
              </c:pt>
              <c:pt idx="1">
                <c:v>3.2361268918781903E-2</c:v>
              </c:pt>
            </c:numLit>
          </c:yVal>
          <c:smooth val="0"/>
          <c:extLst>
            <c:ext xmlns:c16="http://schemas.microsoft.com/office/drawing/2014/chart" uri="{C3380CC4-5D6E-409C-BE32-E72D297353CC}">
              <c16:uniqueId val="{00000026-FB20-47BD-89DD-BDE675514303}"/>
            </c:ext>
          </c:extLst>
        </c:ser>
        <c:ser>
          <c:idx val="39"/>
          <c:order val="39"/>
          <c:spPr>
            <a:ln w="3175">
              <a:solidFill>
                <a:srgbClr val="000000"/>
              </a:solidFill>
              <a:prstDash val="solid"/>
            </a:ln>
          </c:spPr>
          <c:marker>
            <c:symbol val="none"/>
          </c:marker>
          <c:xVal>
            <c:numLit>
              <c:formatCode>General</c:formatCode>
              <c:ptCount val="2"/>
              <c:pt idx="0">
                <c:v>-0.38637441921499299</c:v>
              </c:pt>
              <c:pt idx="1">
                <c:v>-0.11367185303516499</c:v>
              </c:pt>
            </c:numLit>
          </c:xVal>
          <c:yVal>
            <c:numLit>
              <c:formatCode>General</c:formatCode>
              <c:ptCount val="2"/>
              <c:pt idx="0">
                <c:v>3.2393724302205024E-2</c:v>
              </c:pt>
              <c:pt idx="1">
                <c:v>3.1998423464197956E-2</c:v>
              </c:pt>
            </c:numLit>
          </c:yVal>
          <c:smooth val="0"/>
          <c:extLst>
            <c:ext xmlns:c16="http://schemas.microsoft.com/office/drawing/2014/chart" uri="{C3380CC4-5D6E-409C-BE32-E72D297353CC}">
              <c16:uniqueId val="{00000027-FB20-47BD-89DD-BDE675514303}"/>
            </c:ext>
          </c:extLst>
        </c:ser>
        <c:ser>
          <c:idx val="40"/>
          <c:order val="40"/>
          <c:spPr>
            <a:ln w="3175">
              <a:solidFill>
                <a:srgbClr val="000000"/>
              </a:solidFill>
              <a:prstDash val="solid"/>
            </a:ln>
          </c:spPr>
          <c:marker>
            <c:symbol val="none"/>
          </c:marker>
          <c:xVal>
            <c:numLit>
              <c:formatCode>General</c:formatCode>
              <c:ptCount val="2"/>
              <c:pt idx="0">
                <c:v>-0.82836544769946818</c:v>
              </c:pt>
              <c:pt idx="1">
                <c:v>-0.68439362963568395</c:v>
              </c:pt>
            </c:numLit>
          </c:xVal>
          <c:yVal>
            <c:numLit>
              <c:formatCode>General</c:formatCode>
              <c:ptCount val="2"/>
              <c:pt idx="0">
                <c:v>3.2220951129550625E-2</c:v>
              </c:pt>
              <c:pt idx="1">
                <c:v>3.2026279558351474E-2</c:v>
              </c:pt>
            </c:numLit>
          </c:yVal>
          <c:smooth val="0"/>
          <c:extLst>
            <c:ext xmlns:c16="http://schemas.microsoft.com/office/drawing/2014/chart" uri="{C3380CC4-5D6E-409C-BE32-E72D297353CC}">
              <c16:uniqueId val="{00000028-FB20-47BD-89DD-BDE675514303}"/>
            </c:ext>
          </c:extLst>
        </c:ser>
        <c:ser>
          <c:idx val="41"/>
          <c:order val="41"/>
          <c:spPr>
            <a:ln w="3175">
              <a:solidFill>
                <a:srgbClr val="000000"/>
              </a:solidFill>
              <a:prstDash val="solid"/>
            </a:ln>
          </c:spPr>
          <c:marker>
            <c:symbol val="none"/>
          </c:marker>
          <c:xVal>
            <c:numLit>
              <c:formatCode>General</c:formatCode>
              <c:ptCount val="2"/>
              <c:pt idx="0">
                <c:v>-1.2503123116501493</c:v>
              </c:pt>
              <c:pt idx="1">
                <c:v>-0.94781878366221239</c:v>
              </c:pt>
            </c:numLit>
          </c:xVal>
          <c:yVal>
            <c:numLit>
              <c:formatCode>General</c:formatCode>
              <c:ptCount val="2"/>
              <c:pt idx="0">
                <c:v>3.2044541795365311E-2</c:v>
              </c:pt>
              <c:pt idx="1">
                <c:v>3.1661281733456156E-2</c:v>
              </c:pt>
            </c:numLit>
          </c:yVal>
          <c:smooth val="0"/>
          <c:extLst>
            <c:ext xmlns:c16="http://schemas.microsoft.com/office/drawing/2014/chart" uri="{C3380CC4-5D6E-409C-BE32-E72D297353CC}">
              <c16:uniqueId val="{00000029-FB20-47BD-89DD-BDE675514303}"/>
            </c:ext>
          </c:extLst>
        </c:ser>
        <c:ser>
          <c:idx val="42"/>
          <c:order val="42"/>
          <c:spPr>
            <a:ln w="3175">
              <a:solidFill>
                <a:srgbClr val="000000"/>
              </a:solidFill>
              <a:prstDash val="solid"/>
            </a:ln>
          </c:spPr>
          <c:marker>
            <c:symbol val="none"/>
          </c:marker>
          <c:xVal>
            <c:numLit>
              <c:formatCode>General</c:formatCode>
              <c:ptCount val="2"/>
              <c:pt idx="0">
                <c:v>-1.6524858712974235</c:v>
              </c:pt>
              <c:pt idx="1">
                <c:v>-1.4943050804129847</c:v>
              </c:pt>
            </c:numLit>
          </c:xVal>
          <c:yVal>
            <c:numLit>
              <c:formatCode>General</c:formatCode>
              <c:ptCount val="2"/>
              <c:pt idx="0">
                <c:v>3.1865465386878213E-2</c:v>
              </c:pt>
              <c:pt idx="1">
                <c:v>3.1676922880207896E-2</c:v>
              </c:pt>
            </c:numLit>
          </c:yVal>
          <c:smooth val="0"/>
          <c:extLst>
            <c:ext xmlns:c16="http://schemas.microsoft.com/office/drawing/2014/chart" uri="{C3380CC4-5D6E-409C-BE32-E72D297353CC}">
              <c16:uniqueId val="{0000002A-FB20-47BD-89DD-BDE675514303}"/>
            </c:ext>
          </c:extLst>
        </c:ser>
        <c:ser>
          <c:idx val="43"/>
          <c:order val="43"/>
          <c:spPr>
            <a:ln w="3175">
              <a:solidFill>
                <a:srgbClr val="000000"/>
              </a:solidFill>
              <a:prstDash val="solid"/>
            </a:ln>
          </c:spPr>
          <c:marker>
            <c:symbol val="none"/>
          </c:marker>
          <c:xVal>
            <c:numLit>
              <c:formatCode>General</c:formatCode>
              <c:ptCount val="2"/>
              <c:pt idx="0">
                <c:v>-2.0352788721065513</c:v>
              </c:pt>
              <c:pt idx="1">
                <c:v>-1.7057175316890834</c:v>
              </c:pt>
            </c:numLit>
          </c:xVal>
          <c:yVal>
            <c:numLit>
              <c:formatCode>General</c:formatCode>
              <c:ptCount val="2"/>
              <c:pt idx="0">
                <c:v>3.1684611348254135E-2</c:v>
              </c:pt>
              <c:pt idx="1">
                <c:v>3.1313762681072957E-2</c:v>
              </c:pt>
            </c:numLit>
          </c:yVal>
          <c:smooth val="0"/>
          <c:extLst>
            <c:ext xmlns:c16="http://schemas.microsoft.com/office/drawing/2014/chart" uri="{C3380CC4-5D6E-409C-BE32-E72D297353CC}">
              <c16:uniqueId val="{0000002B-FB20-47BD-89DD-BDE675514303}"/>
            </c:ext>
          </c:extLst>
        </c:ser>
        <c:ser>
          <c:idx val="44"/>
          <c:order val="44"/>
          <c:spPr>
            <a:ln w="3175">
              <a:solidFill>
                <a:srgbClr val="000000"/>
              </a:solidFill>
              <a:prstDash val="solid"/>
            </a:ln>
          </c:spPr>
          <c:marker>
            <c:symbol val="none"/>
          </c:marker>
          <c:xVal>
            <c:numLit>
              <c:formatCode>General</c:formatCode>
              <c:ptCount val="2"/>
              <c:pt idx="0">
                <c:v>-2.3991840012325829</c:v>
              </c:pt>
              <c:pt idx="1">
                <c:v>-2.2281291046596068</c:v>
              </c:pt>
            </c:numLit>
          </c:xVal>
          <c:yVal>
            <c:numLit>
              <c:formatCode>General</c:formatCode>
              <c:ptCount val="2"/>
              <c:pt idx="0">
                <c:v>3.1502787187754219E-2</c:v>
              </c:pt>
              <c:pt idx="1">
                <c:v>3.1320497753482592E-2</c:v>
              </c:pt>
            </c:numLit>
          </c:yVal>
          <c:smooth val="0"/>
          <c:extLst>
            <c:ext xmlns:c16="http://schemas.microsoft.com/office/drawing/2014/chart" uri="{C3380CC4-5D6E-409C-BE32-E72D297353CC}">
              <c16:uniqueId val="{0000002C-FB20-47BD-89DD-BDE675514303}"/>
            </c:ext>
          </c:extLst>
        </c:ser>
        <c:ser>
          <c:idx val="45"/>
          <c:order val="45"/>
          <c:spPr>
            <a:ln w="3175">
              <a:solidFill>
                <a:srgbClr val="000000"/>
              </a:solidFill>
              <a:prstDash val="solid"/>
            </a:ln>
          </c:spPr>
          <c:marker>
            <c:symbol val="none"/>
          </c:marker>
          <c:xVal>
            <c:numLit>
              <c:formatCode>General</c:formatCode>
              <c:ptCount val="2"/>
              <c:pt idx="0">
                <c:v>-2.7447734321668316</c:v>
              </c:pt>
              <c:pt idx="1">
                <c:v>-2.3907467620921121</c:v>
              </c:pt>
            </c:numLit>
          </c:xVal>
          <c:yVal>
            <c:numLit>
              <c:formatCode>General</c:formatCode>
              <c:ptCount val="2"/>
              <c:pt idx="0">
                <c:v>3.1320718383058194E-2</c:v>
              </c:pt>
              <c:pt idx="1">
                <c:v>3.0962417749159633E-2</c:v>
              </c:pt>
            </c:numLit>
          </c:yVal>
          <c:smooth val="0"/>
          <c:extLst>
            <c:ext xmlns:c16="http://schemas.microsoft.com/office/drawing/2014/chart" uri="{C3380CC4-5D6E-409C-BE32-E72D297353CC}">
              <c16:uniqueId val="{0000002D-FB20-47BD-89DD-BDE675514303}"/>
            </c:ext>
          </c:extLst>
        </c:ser>
        <c:ser>
          <c:idx val="46"/>
          <c:order val="46"/>
          <c:spPr>
            <a:ln w="3175">
              <a:solidFill>
                <a:srgbClr val="000000"/>
              </a:solidFill>
              <a:prstDash val="solid"/>
            </a:ln>
          </c:spPr>
          <c:marker>
            <c:symbol val="none"/>
          </c:marker>
          <c:xVal>
            <c:numLit>
              <c:formatCode>General</c:formatCode>
              <c:ptCount val="2"/>
              <c:pt idx="0">
                <c:v>-3.072680183386634</c:v>
              </c:pt>
              <c:pt idx="1">
                <c:v>-2.890013283673071</c:v>
              </c:pt>
            </c:numLit>
          </c:xVal>
          <c:yVal>
            <c:numLit>
              <c:formatCode>General</c:formatCode>
              <c:ptCount val="2"/>
              <c:pt idx="0">
                <c:v>3.1139050061769116E-2</c:v>
              </c:pt>
              <c:pt idx="1">
                <c:v>3.0963031957255856E-2</c:v>
              </c:pt>
            </c:numLit>
          </c:yVal>
          <c:smooth val="0"/>
          <c:extLst>
            <c:ext xmlns:c16="http://schemas.microsoft.com/office/drawing/2014/chart" uri="{C3380CC4-5D6E-409C-BE32-E72D297353CC}">
              <c16:uniqueId val="{0000002E-FB20-47BD-89DD-BDE675514303}"/>
            </c:ext>
          </c:extLst>
        </c:ser>
        <c:ser>
          <c:idx val="47"/>
          <c:order val="47"/>
          <c:spPr>
            <a:ln w="3175">
              <a:solidFill>
                <a:srgbClr val="000000"/>
              </a:solidFill>
              <a:prstDash val="solid"/>
            </a:ln>
          </c:spPr>
          <c:marker>
            <c:symbol val="none"/>
          </c:marker>
          <c:xVal>
            <c:numLit>
              <c:formatCode>General</c:formatCode>
              <c:ptCount val="2"/>
              <c:pt idx="0">
                <c:v>-3.3835814724217705</c:v>
              </c:pt>
              <c:pt idx="1">
                <c:v>-3.0075269388899843</c:v>
              </c:pt>
            </c:numLit>
          </c:xVal>
          <c:yVal>
            <c:numLit>
              <c:formatCode>General</c:formatCode>
              <c:ptCount val="2"/>
              <c:pt idx="0">
                <c:v>3.0958350055992959E-2</c:v>
              </c:pt>
              <c:pt idx="1">
                <c:v>3.0612544881648374E-2</c:v>
              </c:pt>
            </c:numLit>
          </c:yVal>
          <c:smooth val="0"/>
          <c:extLst>
            <c:ext xmlns:c16="http://schemas.microsoft.com/office/drawing/2014/chart" uri="{C3380CC4-5D6E-409C-BE32-E72D297353CC}">
              <c16:uniqueId val="{0000002F-FB20-47BD-89DD-BDE675514303}"/>
            </c:ext>
          </c:extLst>
        </c:ser>
        <c:ser>
          <c:idx val="48"/>
          <c:order val="48"/>
          <c:spPr>
            <a:ln w="3175">
              <a:solidFill>
                <a:srgbClr val="000000"/>
              </a:solidFill>
              <a:prstDash val="solid"/>
            </a:ln>
          </c:spPr>
          <c:marker>
            <c:symbol val="none"/>
          </c:marker>
          <c:xVal>
            <c:numLit>
              <c:formatCode>General</c:formatCode>
              <c:ptCount val="2"/>
              <c:pt idx="0">
                <c:v>-3.6781841292440793</c:v>
              </c:pt>
              <c:pt idx="1">
                <c:v>-3.4850775063260775</c:v>
              </c:pt>
            </c:numLit>
          </c:xVal>
          <c:yVal>
            <c:numLit>
              <c:formatCode>General</c:formatCode>
              <c:ptCount val="2"/>
              <c:pt idx="0">
                <c:v>3.0779112966800307E-2</c:v>
              </c:pt>
              <c:pt idx="1">
                <c:v>3.0609300674269268E-2</c:v>
              </c:pt>
            </c:numLit>
          </c:yVal>
          <c:smooth val="0"/>
          <c:extLst>
            <c:ext xmlns:c16="http://schemas.microsoft.com/office/drawing/2014/chart" uri="{C3380CC4-5D6E-409C-BE32-E72D297353CC}">
              <c16:uniqueId val="{00000030-FB20-47BD-89DD-BDE675514303}"/>
            </c:ext>
          </c:extLst>
        </c:ser>
        <c:ser>
          <c:idx val="49"/>
          <c:order val="49"/>
          <c:spPr>
            <a:ln w="3175">
              <a:solidFill>
                <a:srgbClr val="000000"/>
              </a:solidFill>
              <a:prstDash val="solid"/>
            </a:ln>
          </c:spPr>
          <c:marker>
            <c:symbol val="none"/>
          </c:marker>
          <c:xVal>
            <c:numLit>
              <c:formatCode>General</c:formatCode>
              <c:ptCount val="2"/>
              <c:pt idx="0">
                <c:v>-3.9572120420841821</c:v>
              </c:pt>
              <c:pt idx="1">
                <c:v>-3.5613771440812783</c:v>
              </c:pt>
            </c:numLit>
          </c:xVal>
          <c:yVal>
            <c:numLit>
              <c:formatCode>General</c:formatCode>
              <c:ptCount val="2"/>
              <c:pt idx="0">
                <c:v>3.0601764919879974E-2</c:v>
              </c:pt>
              <c:pt idx="1">
                <c:v>3.0268255784711699E-2</c:v>
              </c:pt>
            </c:numLit>
          </c:yVal>
          <c:smooth val="0"/>
          <c:extLst>
            <c:ext xmlns:c16="http://schemas.microsoft.com/office/drawing/2014/chart" uri="{C3380CC4-5D6E-409C-BE32-E72D297353CC}">
              <c16:uniqueId val="{00000031-FB20-47BD-89DD-BDE675514303}"/>
            </c:ext>
          </c:extLst>
        </c:ser>
        <c:ser>
          <c:idx val="50"/>
          <c:order val="50"/>
          <c:spPr>
            <a:ln w="3175">
              <a:solidFill>
                <a:srgbClr val="000000"/>
              </a:solidFill>
              <a:prstDash val="solid"/>
            </a:ln>
          </c:spPr>
          <c:marker>
            <c:symbol val="none"/>
          </c:marker>
          <c:xVal>
            <c:numLit>
              <c:formatCode>General</c:formatCode>
              <c:ptCount val="2"/>
              <c:pt idx="0">
                <c:v>-4.221395542588029</c:v>
              </c:pt>
              <c:pt idx="1">
                <c:v>-4.018923205646856</c:v>
              </c:pt>
            </c:numLit>
          </c:xVal>
          <c:yVal>
            <c:numLit>
              <c:formatCode>General</c:formatCode>
              <c:ptCount val="2"/>
              <c:pt idx="0">
                <c:v>3.0426668742639516E-2</c:v>
              </c:pt>
              <c:pt idx="1">
                <c:v>3.0262933074662973E-2</c:v>
              </c:pt>
            </c:numLit>
          </c:yVal>
          <c:smooth val="0"/>
          <c:extLst>
            <c:ext xmlns:c16="http://schemas.microsoft.com/office/drawing/2014/chart" uri="{C3380CC4-5D6E-409C-BE32-E72D297353CC}">
              <c16:uniqueId val="{00000032-FB20-47BD-89DD-BDE675514303}"/>
            </c:ext>
          </c:extLst>
        </c:ser>
        <c:ser>
          <c:idx val="51"/>
          <c:order val="51"/>
          <c:spPr>
            <a:ln w="3175">
              <a:solidFill>
                <a:srgbClr val="000000"/>
              </a:solidFill>
              <a:prstDash val="solid"/>
            </a:ln>
          </c:spPr>
          <c:marker>
            <c:symbol val="none"/>
          </c:marker>
          <c:xVal>
            <c:numLit>
              <c:formatCode>General</c:formatCode>
              <c:ptCount val="2"/>
              <c:pt idx="0">
                <c:v>-4.4714625924504272</c:v>
              </c:pt>
              <c:pt idx="1">
                <c:v>-4.0578949168486877</c:v>
              </c:pt>
            </c:numLit>
          </c:xVal>
          <c:yVal>
            <c:numLit>
              <c:formatCode>General</c:formatCode>
              <c:ptCount val="2"/>
              <c:pt idx="0">
                <c:v>3.0254129341580477E-2</c:v>
              </c:pt>
              <c:pt idx="1">
                <c:v>2.9932607640146668E-2</c:v>
              </c:pt>
            </c:numLit>
          </c:yVal>
          <c:smooth val="0"/>
          <c:extLst>
            <c:ext xmlns:c16="http://schemas.microsoft.com/office/drawing/2014/chart" uri="{C3380CC4-5D6E-409C-BE32-E72D297353CC}">
              <c16:uniqueId val="{00000033-FB20-47BD-89DD-BDE675514303}"/>
            </c:ext>
          </c:extLst>
        </c:ser>
        <c:ser>
          <c:idx val="52"/>
          <c:order val="52"/>
          <c:spPr>
            <a:ln w="3175">
              <a:solidFill>
                <a:srgbClr val="000000"/>
              </a:solidFill>
              <a:prstDash val="solid"/>
            </a:ln>
          </c:spPr>
          <c:marker>
            <c:symbol val="none"/>
          </c:marker>
          <c:xVal>
            <c:numLit>
              <c:formatCode>General</c:formatCode>
              <c:ptCount val="2"/>
              <c:pt idx="0">
                <c:v>-4.7081316066320262</c:v>
              </c:pt>
              <c:pt idx="1">
                <c:v>-4.4972672685866462</c:v>
              </c:pt>
            </c:numLit>
          </c:xVal>
          <c:yVal>
            <c:numLit>
              <c:formatCode>General</c:formatCode>
              <c:ptCount val="2"/>
              <c:pt idx="0">
                <c:v>3.0084399104368914E-2</c:v>
              </c:pt>
              <c:pt idx="1">
                <c:v>2.9926564637052209E-2</c:v>
              </c:pt>
            </c:numLit>
          </c:yVal>
          <c:smooth val="0"/>
          <c:extLst>
            <c:ext xmlns:c16="http://schemas.microsoft.com/office/drawing/2014/chart" uri="{C3380CC4-5D6E-409C-BE32-E72D297353CC}">
              <c16:uniqueId val="{00000034-FB20-47BD-89DD-BDE675514303}"/>
            </c:ext>
          </c:extLst>
        </c:ser>
        <c:ser>
          <c:idx val="53"/>
          <c:order val="53"/>
          <c:spPr>
            <a:ln w="3175">
              <a:solidFill>
                <a:srgbClr val="000000"/>
              </a:solidFill>
              <a:prstDash val="solid"/>
            </a:ln>
          </c:spPr>
          <c:marker>
            <c:symbol val="none"/>
          </c:marker>
          <c:xVal>
            <c:numLit>
              <c:formatCode>General</c:formatCode>
              <c:ptCount val="2"/>
              <c:pt idx="0">
                <c:v>-4.9321057352905999</c:v>
              </c:pt>
              <c:pt idx="1">
                <c:v>-4.5026538133840264</c:v>
              </c:pt>
            </c:numLit>
          </c:xVal>
          <c:yVal>
            <c:numLit>
              <c:formatCode>General</c:formatCode>
              <c:ptCount val="2"/>
              <c:pt idx="0">
                <c:v>2.9917683192038989E-2</c:v>
              </c:pt>
              <c:pt idx="1">
                <c:v>2.9607763081968677E-2</c:v>
              </c:pt>
            </c:numLit>
          </c:yVal>
          <c:smooth val="0"/>
          <c:extLst>
            <c:ext xmlns:c16="http://schemas.microsoft.com/office/drawing/2014/chart" uri="{C3380CC4-5D6E-409C-BE32-E72D297353CC}">
              <c16:uniqueId val="{00000035-FB20-47BD-89DD-BDE675514303}"/>
            </c:ext>
          </c:extLst>
        </c:ser>
        <c:ser>
          <c:idx val="54"/>
          <c:order val="54"/>
          <c:spPr>
            <a:ln w="3175">
              <a:solidFill>
                <a:srgbClr val="000000"/>
              </a:solidFill>
              <a:prstDash val="solid"/>
            </a:ln>
          </c:spPr>
          <c:marker>
            <c:symbol val="none"/>
          </c:marker>
          <c:xVal>
            <c:numLit>
              <c:formatCode>General</c:formatCode>
              <c:ptCount val="2"/>
              <c:pt idx="0">
                <c:v>-5.1440684242141916</c:v>
              </c:pt>
              <c:pt idx="1">
                <c:v>-4.9256879341415329</c:v>
              </c:pt>
            </c:numLit>
          </c:xVal>
          <c:yVal>
            <c:numLit>
              <c:formatCode>General</c:formatCode>
              <c:ptCount val="2"/>
              <c:pt idx="0">
                <c:v>2.9754144622409617E-2</c:v>
              </c:pt>
              <c:pt idx="1">
                <c:v>2.9602004197885314E-2</c:v>
              </c:pt>
            </c:numLit>
          </c:yVal>
          <c:smooth val="0"/>
          <c:extLst>
            <c:ext xmlns:c16="http://schemas.microsoft.com/office/drawing/2014/chart" uri="{C3380CC4-5D6E-409C-BE32-E72D297353CC}">
              <c16:uniqueId val="{00000036-FB20-47BD-89DD-BDE675514303}"/>
            </c:ext>
          </c:extLst>
        </c:ser>
        <c:ser>
          <c:idx val="55"/>
          <c:order val="55"/>
          <c:spPr>
            <a:ln w="3175">
              <a:solidFill>
                <a:srgbClr val="000000"/>
              </a:solidFill>
              <a:prstDash val="solid"/>
            </a:ln>
          </c:spPr>
          <c:marker>
            <c:symbol val="none"/>
          </c:marker>
          <c:xVal>
            <c:numLit>
              <c:formatCode>General</c:formatCode>
              <c:ptCount val="2"/>
              <c:pt idx="0">
                <c:v>-5.3446800788427877</c:v>
              </c:pt>
              <c:pt idx="1">
                <c:v>-4.9010014554344146</c:v>
              </c:pt>
            </c:numLit>
          </c:xVal>
          <c:yVal>
            <c:numLit>
              <c:formatCode>General</c:formatCode>
              <c:ptCount val="2"/>
              <c:pt idx="0">
                <c:v>2.9593909075847288E-2</c:v>
              </c:pt>
              <c:pt idx="1">
                <c:v>2.9295153590473244E-2</c:v>
              </c:pt>
            </c:numLit>
          </c:yVal>
          <c:smooth val="0"/>
          <c:extLst>
            <c:ext xmlns:c16="http://schemas.microsoft.com/office/drawing/2014/chart" uri="{C3380CC4-5D6E-409C-BE32-E72D297353CC}">
              <c16:uniqueId val="{00000037-FB20-47BD-89DD-BDE675514303}"/>
            </c:ext>
          </c:extLst>
        </c:ser>
        <c:ser>
          <c:idx val="56"/>
          <c:order val="56"/>
          <c:spPr>
            <a:ln w="3175">
              <a:solidFill>
                <a:srgbClr val="000000"/>
              </a:solidFill>
              <a:prstDash val="solid"/>
            </a:ln>
          </c:spPr>
          <c:marker>
            <c:symbol val="none"/>
          </c:marker>
          <c:xVal>
            <c:numLit>
              <c:formatCode>General</c:formatCode>
              <c:ptCount val="2"/>
              <c:pt idx="0">
                <c:v>-5.5345756674157736</c:v>
              </c:pt>
              <c:pt idx="1">
                <c:v>-5.3094622938396387</c:v>
              </c:pt>
            </c:numLit>
          </c:xVal>
          <c:yVal>
            <c:numLit>
              <c:formatCode>General</c:formatCode>
              <c:ptCount val="2"/>
              <c:pt idx="0">
                <c:v>2.9437069379158205E-2</c:v>
              </c:pt>
              <c:pt idx="1">
                <c:v>2.9290395769172719E-2</c:v>
              </c:pt>
            </c:numLit>
          </c:yVal>
          <c:smooth val="0"/>
          <c:extLst>
            <c:ext xmlns:c16="http://schemas.microsoft.com/office/drawing/2014/chart" uri="{C3380CC4-5D6E-409C-BE32-E72D297353CC}">
              <c16:uniqueId val="{00000038-FB20-47BD-89DD-BDE675514303}"/>
            </c:ext>
          </c:extLst>
        </c:ser>
        <c:ser>
          <c:idx val="57"/>
          <c:order val="57"/>
          <c:spPr>
            <a:ln w="3175">
              <a:solidFill>
                <a:srgbClr val="000000"/>
              </a:solidFill>
              <a:prstDash val="solid"/>
            </a:ln>
          </c:spPr>
          <c:marker>
            <c:symbol val="none"/>
          </c:marker>
          <c:xVal>
            <c:numLit>
              <c:formatCode>General</c:formatCode>
              <c:ptCount val="2"/>
              <c:pt idx="0">
                <c:v>-5.714363112392145</c:v>
              </c:pt>
              <c:pt idx="1">
                <c:v>-5.2579367981717251</c:v>
              </c:pt>
            </c:numLit>
          </c:xVal>
          <c:yVal>
            <c:numLit>
              <c:formatCode>General</c:formatCode>
              <c:ptCount val="2"/>
              <c:pt idx="0">
                <c:v>2.9283689643078106E-2</c:v>
              </c:pt>
              <c:pt idx="1">
                <c:v>2.8995631379523688E-2</c:v>
              </c:pt>
            </c:numLit>
          </c:yVal>
          <c:smooth val="0"/>
          <c:extLst>
            <c:ext xmlns:c16="http://schemas.microsoft.com/office/drawing/2014/chart" uri="{C3380CC4-5D6E-409C-BE32-E72D297353CC}">
              <c16:uniqueId val="{00000039-FB20-47BD-89DD-BDE675514303}"/>
            </c:ext>
          </c:extLst>
        </c:ser>
        <c:ser>
          <c:idx val="58"/>
          <c:order val="58"/>
          <c:spPr>
            <a:ln w="3175">
              <a:solidFill>
                <a:srgbClr val="000000"/>
              </a:solidFill>
              <a:prstDash val="solid"/>
            </a:ln>
          </c:spPr>
          <c:marker>
            <c:symbol val="none"/>
          </c:marker>
          <c:xVal>
            <c:numLit>
              <c:formatCode>General</c:formatCode>
              <c:ptCount val="2"/>
              <c:pt idx="0">
                <c:v>-6.0459048297431641</c:v>
              </c:pt>
              <c:pt idx="1">
                <c:v>-5.811975436126902</c:v>
              </c:pt>
            </c:numLit>
          </c:xVal>
          <c:yVal>
            <c:numLit>
              <c:formatCode>General</c:formatCode>
              <c:ptCount val="2"/>
              <c:pt idx="0">
                <c:v>2.8987445253082427E-2</c:v>
              </c:pt>
              <c:pt idx="1">
                <c:v>2.8848523783201695E-2</c:v>
              </c:pt>
            </c:numLit>
          </c:yVal>
          <c:smooth val="0"/>
          <c:extLst>
            <c:ext xmlns:c16="http://schemas.microsoft.com/office/drawing/2014/chart" uri="{C3380CC4-5D6E-409C-BE32-E72D297353CC}">
              <c16:uniqueId val="{0000003A-FB20-47BD-89DD-BDE675514303}"/>
            </c:ext>
          </c:extLst>
        </c:ser>
        <c:ser>
          <c:idx val="59"/>
          <c:order val="59"/>
          <c:spPr>
            <a:ln w="3175">
              <a:solidFill>
                <a:srgbClr val="000000"/>
              </a:solidFill>
              <a:prstDash val="solid"/>
            </a:ln>
          </c:spPr>
          <c:marker>
            <c:symbol val="none"/>
          </c:marker>
          <c:xVal>
            <c:numLit>
              <c:formatCode>General</c:formatCode>
              <c:ptCount val="2"/>
              <c:pt idx="0">
                <c:v>-6.3436038686490521</c:v>
              </c:pt>
              <c:pt idx="1">
                <c:v>-6.1045417329826881</c:v>
              </c:pt>
            </c:numLit>
          </c:xVal>
          <c:yVal>
            <c:numLit>
              <c:formatCode>General</c:formatCode>
              <c:ptCount val="2"/>
              <c:pt idx="0">
                <c:v>2.8705249438049581E-2</c:v>
              </c:pt>
              <c:pt idx="1">
                <c:v>2.8571193413255622E-2</c:v>
              </c:pt>
            </c:numLit>
          </c:yVal>
          <c:smooth val="0"/>
          <c:extLst>
            <c:ext xmlns:c16="http://schemas.microsoft.com/office/drawing/2014/chart" uri="{C3380CC4-5D6E-409C-BE32-E72D297353CC}">
              <c16:uniqueId val="{0000003B-FB20-47BD-89DD-BDE675514303}"/>
            </c:ext>
          </c:extLst>
        </c:ser>
        <c:ser>
          <c:idx val="60"/>
          <c:order val="60"/>
          <c:spPr>
            <a:ln w="3175">
              <a:solidFill>
                <a:srgbClr val="000000"/>
              </a:solidFill>
              <a:prstDash val="solid"/>
            </a:ln>
          </c:spPr>
          <c:marker>
            <c:symbol val="none"/>
          </c:marker>
          <c:xVal>
            <c:numLit>
              <c:formatCode>General</c:formatCode>
              <c:ptCount val="2"/>
              <c:pt idx="0">
                <c:v>-6.6113117622552888</c:v>
              </c:pt>
              <c:pt idx="1">
                <c:v>-6.3676339732508866</c:v>
              </c:pt>
            </c:numLit>
          </c:xVal>
          <c:yVal>
            <c:numLit>
              <c:formatCode>General</c:formatCode>
              <c:ptCount val="2"/>
              <c:pt idx="0">
                <c:v>2.843692272060656E-2</c:v>
              </c:pt>
              <c:pt idx="1">
                <c:v>2.8307493018527138E-2</c:v>
              </c:pt>
            </c:numLit>
          </c:yVal>
          <c:smooth val="0"/>
          <c:extLst>
            <c:ext xmlns:c16="http://schemas.microsoft.com/office/drawing/2014/chart" uri="{C3380CC4-5D6E-409C-BE32-E72D297353CC}">
              <c16:uniqueId val="{0000003C-FB20-47BD-89DD-BDE675514303}"/>
            </c:ext>
          </c:extLst>
        </c:ser>
        <c:ser>
          <c:idx val="61"/>
          <c:order val="61"/>
          <c:spPr>
            <a:ln w="3175">
              <a:solidFill>
                <a:srgbClr val="000000"/>
              </a:solidFill>
              <a:prstDash val="solid"/>
            </a:ln>
          </c:spPr>
          <c:marker>
            <c:symbol val="none"/>
          </c:marker>
          <c:xVal>
            <c:numLit>
              <c:formatCode>General</c:formatCode>
              <c:ptCount val="2"/>
              <c:pt idx="0">
                <c:v>-6.8524545533004888</c:v>
              </c:pt>
              <c:pt idx="1">
                <c:v>-6.6046191299677215</c:v>
              </c:pt>
            </c:numLit>
          </c:xVal>
          <c:yVal>
            <c:numLit>
              <c:formatCode>General</c:formatCode>
              <c:ptCount val="2"/>
              <c:pt idx="0">
                <c:v>2.8182106961193734E-2</c:v>
              </c:pt>
              <c:pt idx="1">
                <c:v>2.80570706342766E-2</c:v>
              </c:pt>
            </c:numLit>
          </c:yVal>
          <c:smooth val="0"/>
          <c:extLst>
            <c:ext xmlns:c16="http://schemas.microsoft.com/office/drawing/2014/chart" uri="{C3380CC4-5D6E-409C-BE32-E72D297353CC}">
              <c16:uniqueId val="{0000003D-FB20-47BD-89DD-BDE675514303}"/>
            </c:ext>
          </c:extLst>
        </c:ser>
        <c:ser>
          <c:idx val="62"/>
          <c:order val="62"/>
          <c:spPr>
            <a:ln w="3175">
              <a:solidFill>
                <a:srgbClr val="000000"/>
              </a:solidFill>
              <a:prstDash val="solid"/>
            </a:ln>
          </c:spPr>
          <c:marker>
            <c:symbol val="none"/>
          </c:marker>
          <c:xVal>
            <c:numLit>
              <c:formatCode>General</c:formatCode>
              <c:ptCount val="2"/>
              <c:pt idx="0">
                <c:v>-7.0700641161397257</c:v>
              </c:pt>
              <c:pt idx="1">
                <c:v>-6.5668894914452514</c:v>
              </c:pt>
            </c:numLit>
          </c:xVal>
          <c:yVal>
            <c:numLit>
              <c:formatCode>General</c:formatCode>
              <c:ptCount val="2"/>
              <c:pt idx="0">
                <c:v>2.7940323066302088E-2</c:v>
              </c:pt>
              <c:pt idx="1">
                <c:v>2.769858778815374E-2</c:v>
              </c:pt>
            </c:numLit>
          </c:yVal>
          <c:smooth val="0"/>
          <c:extLst>
            <c:ext xmlns:c16="http://schemas.microsoft.com/office/drawing/2014/chart" uri="{C3380CC4-5D6E-409C-BE32-E72D297353CC}">
              <c16:uniqueId val="{0000003E-FB20-47BD-89DD-BDE675514303}"/>
            </c:ext>
          </c:extLst>
        </c:ser>
        <c:ser>
          <c:idx val="63"/>
          <c:order val="63"/>
          <c:spPr>
            <a:ln w="3175">
              <a:solidFill>
                <a:srgbClr val="000000"/>
              </a:solidFill>
              <a:prstDash val="solid"/>
            </a:ln>
          </c:spPr>
          <c:marker>
            <c:symbol val="none"/>
          </c:marker>
          <c:xVal>
            <c:numLit>
              <c:formatCode>General</c:formatCode>
              <c:ptCount val="2"/>
              <c:pt idx="0">
                <c:v>-7.2668139627913737</c:v>
              </c:pt>
              <c:pt idx="1">
                <c:v>-7.0118344117087634</c:v>
              </c:pt>
            </c:numLit>
          </c:xVal>
          <c:yVal>
            <c:numLit>
              <c:formatCode>General</c:formatCode>
              <c:ptCount val="2"/>
              <c:pt idx="0">
                <c:v>2.771101497108848E-2</c:v>
              </c:pt>
              <c:pt idx="1">
                <c:v>2.7594100919862818E-2</c:v>
              </c:pt>
            </c:numLit>
          </c:yVal>
          <c:smooth val="0"/>
          <c:extLst>
            <c:ext xmlns:c16="http://schemas.microsoft.com/office/drawing/2014/chart" uri="{C3380CC4-5D6E-409C-BE32-E72D297353CC}">
              <c16:uniqueId val="{0000003F-FB20-47BD-89DD-BDE675514303}"/>
            </c:ext>
          </c:extLst>
        </c:ser>
        <c:ser>
          <c:idx val="64"/>
          <c:order val="64"/>
          <c:spPr>
            <a:ln w="3175">
              <a:solidFill>
                <a:srgbClr val="000000"/>
              </a:solidFill>
              <a:prstDash val="solid"/>
            </a:ln>
          </c:spPr>
          <c:marker>
            <c:symbol val="none"/>
          </c:marker>
          <c:xVal>
            <c:numLit>
              <c:formatCode>General</c:formatCode>
              <c:ptCount val="2"/>
              <c:pt idx="0">
                <c:v>-7.4450561220153224</c:v>
              </c:pt>
              <c:pt idx="1">
                <c:v>-7.1870034302564365</c:v>
              </c:pt>
            </c:numLit>
          </c:xVal>
          <c:yVal>
            <c:numLit>
              <c:formatCode>General</c:formatCode>
              <c:ptCount val="2"/>
              <c:pt idx="0">
                <c:v>2.7493582588817535E-2</c:v>
              </c:pt>
              <c:pt idx="1">
                <c:v>2.7380417371768957E-2</c:v>
              </c:pt>
            </c:numLit>
          </c:yVal>
          <c:smooth val="0"/>
          <c:extLst>
            <c:ext xmlns:c16="http://schemas.microsoft.com/office/drawing/2014/chart" uri="{C3380CC4-5D6E-409C-BE32-E72D297353CC}">
              <c16:uniqueId val="{00000040-FB20-47BD-89DD-BDE675514303}"/>
            </c:ext>
          </c:extLst>
        </c:ser>
        <c:ser>
          <c:idx val="65"/>
          <c:order val="65"/>
          <c:spPr>
            <a:ln w="3175">
              <a:solidFill>
                <a:srgbClr val="000000"/>
              </a:solidFill>
              <a:prstDash val="solid"/>
            </a:ln>
          </c:spPr>
          <c:marker>
            <c:symbol val="none"/>
          </c:marker>
          <c:xVal>
            <c:numLit>
              <c:formatCode>General</c:formatCode>
              <c:ptCount val="2"/>
              <c:pt idx="0">
                <c:v>-7.6068569785848918</c:v>
              </c:pt>
              <c:pt idx="1">
                <c:v>-7.3460146168851512</c:v>
              </c:pt>
            </c:numLit>
          </c:xVal>
          <c:yVal>
            <c:numLit>
              <c:formatCode>General</c:formatCode>
              <c:ptCount val="2"/>
              <c:pt idx="0">
                <c:v>2.7287406065353549E-2</c:v>
              </c:pt>
              <c:pt idx="1">
                <c:v>2.7177795615950903E-2</c:v>
              </c:pt>
            </c:numLit>
          </c:yVal>
          <c:smooth val="0"/>
          <c:extLst>
            <c:ext xmlns:c16="http://schemas.microsoft.com/office/drawing/2014/chart" uri="{C3380CC4-5D6E-409C-BE32-E72D297353CC}">
              <c16:uniqueId val="{00000041-FB20-47BD-89DD-BDE675514303}"/>
            </c:ext>
          </c:extLst>
        </c:ser>
        <c:ser>
          <c:idx val="66"/>
          <c:order val="66"/>
          <c:spPr>
            <a:ln w="3175">
              <a:solidFill>
                <a:srgbClr val="000000"/>
              </a:solidFill>
              <a:prstDash val="solid"/>
            </a:ln>
          </c:spPr>
          <c:marker>
            <c:symbol val="none"/>
          </c:marker>
          <c:xVal>
            <c:numLit>
              <c:formatCode>General</c:formatCode>
              <c:ptCount val="2"/>
              <c:pt idx="0">
                <c:v>-7.7540308580023209</c:v>
              </c:pt>
              <c:pt idx="1">
                <c:v>-7.4906510156229702</c:v>
              </c:pt>
            </c:numLit>
          </c:xVal>
          <c:yVal>
            <c:numLit>
              <c:formatCode>General</c:formatCode>
              <c:ptCount val="2"/>
              <c:pt idx="0">
                <c:v>2.7091863289154108E-2</c:v>
              </c:pt>
              <c:pt idx="1">
                <c:v>2.6985624266927313E-2</c:v>
              </c:pt>
            </c:numLit>
          </c:yVal>
          <c:smooth val="0"/>
          <c:extLst>
            <c:ext xmlns:c16="http://schemas.microsoft.com/office/drawing/2014/chart" uri="{C3380CC4-5D6E-409C-BE32-E72D297353CC}">
              <c16:uniqueId val="{00000042-FB20-47BD-89DD-BDE675514303}"/>
            </c:ext>
          </c:extLst>
        </c:ser>
        <c:ser>
          <c:idx val="67"/>
          <c:order val="67"/>
          <c:spPr>
            <a:ln w="3175">
              <a:solidFill>
                <a:srgbClr val="000000"/>
              </a:solidFill>
              <a:prstDash val="solid"/>
            </a:ln>
          </c:spPr>
          <c:marker>
            <c:symbol val="none"/>
          </c:marker>
          <c:xVal>
            <c:numLit>
              <c:formatCode>General</c:formatCode>
              <c:ptCount val="2"/>
              <c:pt idx="0">
                <c:v>-7.8881707432153219</c:v>
              </c:pt>
              <c:pt idx="1">
                <c:v>-7.3567855451734125</c:v>
              </c:pt>
            </c:numLit>
          </c:xVal>
          <c:yVal>
            <c:numLit>
              <c:formatCode>General</c:formatCode>
              <c:ptCount val="2"/>
              <c:pt idx="0">
                <c:v>2.690634223888767E-2</c:v>
              </c:pt>
              <c:pt idx="1">
                <c:v>2.6700261472029474E-2</c:v>
              </c:pt>
            </c:numLit>
          </c:yVal>
          <c:smooth val="0"/>
          <c:extLst>
            <c:ext xmlns:c16="http://schemas.microsoft.com/office/drawing/2014/chart" uri="{C3380CC4-5D6E-409C-BE32-E72D297353CC}">
              <c16:uniqueId val="{00000043-FB20-47BD-89DD-BDE675514303}"/>
            </c:ext>
          </c:extLst>
        </c:ser>
        <c:ser>
          <c:idx val="68"/>
          <c:order val="68"/>
          <c:spPr>
            <a:ln w="3175">
              <a:solidFill>
                <a:srgbClr val="000000"/>
              </a:solidFill>
              <a:prstDash val="solid"/>
            </a:ln>
          </c:spPr>
          <c:marker>
            <c:symbol val="none"/>
          </c:marker>
          <c:xVal>
            <c:numLit>
              <c:formatCode>General</c:formatCode>
              <c:ptCount val="2"/>
              <c:pt idx="0">
                <c:v>-8.0106758986490121</c:v>
              </c:pt>
              <c:pt idx="1">
                <c:v>-7.742871141775753</c:v>
              </c:pt>
            </c:numLit>
          </c:xVal>
          <c:yVal>
            <c:numLit>
              <c:formatCode>General</c:formatCode>
              <c:ptCount val="2"/>
              <c:pt idx="0">
                <c:v>2.673024942614733E-2</c:v>
              </c:pt>
              <c:pt idx="1">
                <c:v>2.6630245125696513E-2</c:v>
              </c:pt>
            </c:numLit>
          </c:yVal>
          <c:smooth val="0"/>
          <c:extLst>
            <c:ext xmlns:c16="http://schemas.microsoft.com/office/drawing/2014/chart" uri="{C3380CC4-5D6E-409C-BE32-E72D297353CC}">
              <c16:uniqueId val="{00000044-FB20-47BD-89DD-BDE675514303}"/>
            </c:ext>
          </c:extLst>
        </c:ser>
        <c:ser>
          <c:idx val="69"/>
          <c:order val="69"/>
          <c:spPr>
            <a:ln w="3175">
              <a:solidFill>
                <a:srgbClr val="000000"/>
              </a:solidFill>
              <a:prstDash val="solid"/>
            </a:ln>
          </c:spPr>
          <c:marker>
            <c:symbol val="none"/>
          </c:marker>
          <c:xVal>
            <c:numLit>
              <c:formatCode>General</c:formatCode>
              <c:ptCount val="2"/>
              <c:pt idx="0">
                <c:v>-8.1227764177225303</c:v>
              </c:pt>
              <c:pt idx="1">
                <c:v>-7.853038893279038</c:v>
              </c:pt>
            </c:numLit>
          </c:xVal>
          <c:yVal>
            <c:numLit>
              <c:formatCode>General</c:formatCode>
              <c:ptCount val="2"/>
              <c:pt idx="0">
                <c:v>2.6563015417404752E-2</c:v>
              </c:pt>
              <c:pt idx="1">
                <c:v>2.6465894461932257E-2</c:v>
              </c:pt>
            </c:numLit>
          </c:yVal>
          <c:smooth val="0"/>
          <c:extLst>
            <c:ext xmlns:c16="http://schemas.microsoft.com/office/drawing/2014/chart" uri="{C3380CC4-5D6E-409C-BE32-E72D297353CC}">
              <c16:uniqueId val="{00000045-FB20-47BD-89DD-BDE675514303}"/>
            </c:ext>
          </c:extLst>
        </c:ser>
        <c:ser>
          <c:idx val="70"/>
          <c:order val="70"/>
          <c:spPr>
            <a:ln w="3175">
              <a:solidFill>
                <a:srgbClr val="000000"/>
              </a:solidFill>
              <a:prstDash val="solid"/>
            </a:ln>
          </c:spPr>
          <c:marker>
            <c:symbol val="none"/>
          </c:marker>
          <c:xVal>
            <c:numLit>
              <c:formatCode>General</c:formatCode>
              <c:ptCount val="2"/>
              <c:pt idx="0">
                <c:v>-8.2255548505858034</c:v>
              </c:pt>
              <c:pt idx="1">
                <c:v>-7.9540452841963916</c:v>
              </c:pt>
            </c:numLit>
          </c:xVal>
          <c:yVal>
            <c:numLit>
              <c:formatCode>General</c:formatCode>
              <c:ptCount val="2"/>
              <c:pt idx="0">
                <c:v>2.640409819616079E-2</c:v>
              </c:pt>
              <c:pt idx="1">
                <c:v>2.6309717192778709E-2</c:v>
              </c:pt>
            </c:numLit>
          </c:yVal>
          <c:smooth val="0"/>
          <c:extLst>
            <c:ext xmlns:c16="http://schemas.microsoft.com/office/drawing/2014/chart" uri="{C3380CC4-5D6E-409C-BE32-E72D297353CC}">
              <c16:uniqueId val="{00000046-FB20-47BD-89DD-BDE675514303}"/>
            </c:ext>
          </c:extLst>
        </c:ser>
        <c:ser>
          <c:idx val="71"/>
          <c:order val="71"/>
          <c:spPr>
            <a:ln w="3175">
              <a:solidFill>
                <a:srgbClr val="000000"/>
              </a:solidFill>
              <a:prstDash val="solid"/>
            </a:ln>
          </c:spPr>
          <c:marker>
            <c:symbol val="none"/>
          </c:marker>
          <c:xVal>
            <c:numLit>
              <c:formatCode>General</c:formatCode>
              <c:ptCount val="2"/>
              <c:pt idx="0">
                <c:v>-8.3199651431045574</c:v>
              </c:pt>
              <c:pt idx="1">
                <c:v>-8.0468278130510296</c:v>
              </c:pt>
            </c:numLit>
          </c:xVal>
          <c:yVal>
            <c:numLit>
              <c:formatCode>General</c:formatCode>
              <c:ptCount val="2"/>
              <c:pt idx="0">
                <c:v>2.6252984947883497E-2</c:v>
              </c:pt>
              <c:pt idx="1">
                <c:v>2.616120934533378E-2</c:v>
              </c:pt>
            </c:numLit>
          </c:yVal>
          <c:smooth val="0"/>
          <c:extLst>
            <c:ext xmlns:c16="http://schemas.microsoft.com/office/drawing/2014/chart" uri="{C3380CC4-5D6E-409C-BE32-E72D297353CC}">
              <c16:uniqueId val="{00000047-FB20-47BD-89DD-BDE675514303}"/>
            </c:ext>
          </c:extLst>
        </c:ser>
        <c:ser>
          <c:idx val="72"/>
          <c:order val="72"/>
          <c:spPr>
            <a:ln w="3175">
              <a:solidFill>
                <a:srgbClr val="000000"/>
              </a:solidFill>
              <a:prstDash val="solid"/>
            </a:ln>
          </c:spPr>
          <c:marker>
            <c:symbol val="none"/>
          </c:marker>
          <c:xVal>
            <c:numLit>
              <c:formatCode>General</c:formatCode>
              <c:ptCount val="2"/>
              <c:pt idx="0">
                <c:v>-8.4068491498525173</c:v>
              </c:pt>
              <c:pt idx="1">
                <c:v>-7.8575784895127745</c:v>
              </c:pt>
            </c:numLit>
          </c:xVal>
          <c:yVal>
            <c:numLit>
              <c:formatCode>General</c:formatCode>
              <c:ptCount val="2"/>
              <c:pt idx="0">
                <c:v>2.610919271000376E-2</c:v>
              </c:pt>
              <c:pt idx="1">
                <c:v>2.5930599857934666E-2</c:v>
              </c:pt>
            </c:numLit>
          </c:yVal>
          <c:smooth val="0"/>
          <c:extLst>
            <c:ext xmlns:c16="http://schemas.microsoft.com/office/drawing/2014/chart" uri="{C3380CC4-5D6E-409C-BE32-E72D297353CC}">
              <c16:uniqueId val="{00000048-FB20-47BD-89DD-BDE675514303}"/>
            </c:ext>
          </c:extLst>
        </c:ser>
        <c:ser>
          <c:idx val="73"/>
          <c:order val="73"/>
          <c:spPr>
            <a:ln w="3175">
              <a:solidFill>
                <a:srgbClr val="000000"/>
              </a:solidFill>
              <a:prstDash val="solid"/>
            </a:ln>
          </c:spPr>
          <c:marker>
            <c:symbol val="none"/>
          </c:marker>
          <c:xVal>
            <c:numLit>
              <c:formatCode>General</c:formatCode>
              <c:ptCount val="2"/>
              <c:pt idx="0">
                <c:v>-8.486950989224928</c:v>
              </c:pt>
              <c:pt idx="1">
                <c:v>-8.2109345928589796</c:v>
              </c:pt>
            </c:numLit>
          </c:xVal>
          <c:yVal>
            <c:numLit>
              <c:formatCode>General</c:formatCode>
              <c:ptCount val="2"/>
              <c:pt idx="0">
                <c:v>2.597226822015037E-2</c:v>
              </c:pt>
              <c:pt idx="1">
                <c:v>2.5885332561182261E-2</c:v>
              </c:pt>
            </c:numLit>
          </c:yVal>
          <c:smooth val="0"/>
          <c:extLst>
            <c:ext xmlns:c16="http://schemas.microsoft.com/office/drawing/2014/chart" uri="{C3380CC4-5D6E-409C-BE32-E72D297353CC}">
              <c16:uniqueId val="{00000049-FB20-47BD-89DD-BDE675514303}"/>
            </c:ext>
          </c:extLst>
        </c:ser>
        <c:ser>
          <c:idx val="74"/>
          <c:order val="74"/>
          <c:spPr>
            <a:ln w="3175">
              <a:solidFill>
                <a:srgbClr val="000000"/>
              </a:solidFill>
              <a:prstDash val="solid"/>
            </a:ln>
          </c:spPr>
          <c:marker>
            <c:symbol val="none"/>
          </c:marker>
          <c:xVal>
            <c:numLit>
              <c:formatCode>General</c:formatCode>
              <c:ptCount val="2"/>
              <c:pt idx="0">
                <c:v>-8.5609294985956481</c:v>
              </c:pt>
              <c:pt idx="1">
                <c:v>-8.2836376106888263</c:v>
              </c:pt>
            </c:numLit>
          </c:xVal>
          <c:yVal>
            <c:numLit>
              <c:formatCode>General</c:formatCode>
              <c:ptCount val="2"/>
              <c:pt idx="0">
                <c:v>2.5841787211775113E-2</c:v>
              </c:pt>
              <c:pt idx="1">
                <c:v>2.57571012253652E-2</c:v>
              </c:pt>
            </c:numLit>
          </c:yVal>
          <c:smooth val="0"/>
          <c:extLst>
            <c:ext xmlns:c16="http://schemas.microsoft.com/office/drawing/2014/chart" uri="{C3380CC4-5D6E-409C-BE32-E72D297353CC}">
              <c16:uniqueId val="{0000004A-FB20-47BD-89DD-BDE675514303}"/>
            </c:ext>
          </c:extLst>
        </c:ser>
        <c:ser>
          <c:idx val="75"/>
          <c:order val="75"/>
          <c:spPr>
            <a:ln w="3175">
              <a:solidFill>
                <a:srgbClr val="000000"/>
              </a:solidFill>
              <a:prstDash val="solid"/>
            </a:ln>
          </c:spPr>
          <c:marker>
            <c:symbol val="none"/>
          </c:marker>
          <c:xVal>
            <c:numLit>
              <c:formatCode>General</c:formatCode>
              <c:ptCount val="2"/>
              <c:pt idx="0">
                <c:v>-8.6293690287967184</c:v>
              </c:pt>
              <c:pt idx="1">
                <c:v>-8.350897148989878</c:v>
              </c:pt>
            </c:numLit>
          </c:xVal>
          <c:yVal>
            <c:numLit>
              <c:formatCode>General</c:formatCode>
              <c:ptCount val="2"/>
              <c:pt idx="0">
                <c:v>2.5717353342065267E-2</c:v>
              </c:pt>
              <c:pt idx="1">
                <c:v>2.5634812767202073E-2</c:v>
              </c:pt>
            </c:numLit>
          </c:yVal>
          <c:smooth val="0"/>
          <c:extLst>
            <c:ext xmlns:c16="http://schemas.microsoft.com/office/drawing/2014/chart" uri="{C3380CC4-5D6E-409C-BE32-E72D297353CC}">
              <c16:uniqueId val="{0000004B-FB20-47BD-89DD-BDE675514303}"/>
            </c:ext>
          </c:extLst>
        </c:ser>
        <c:ser>
          <c:idx val="76"/>
          <c:order val="76"/>
          <c:spPr>
            <a:ln w="3175">
              <a:solidFill>
                <a:srgbClr val="000000"/>
              </a:solidFill>
              <a:prstDash val="solid"/>
            </a:ln>
          </c:spPr>
          <c:marker>
            <c:symbol val="none"/>
          </c:marker>
          <c:xVal>
            <c:numLit>
              <c:formatCode>General</c:formatCode>
              <c:ptCount val="2"/>
              <c:pt idx="0">
                <c:v>-8.6927887946424995</c:v>
              </c:pt>
              <c:pt idx="1">
                <c:v>-8.4132234705969378</c:v>
              </c:pt>
            </c:numLit>
          </c:xVal>
          <c:yVal>
            <c:numLit>
              <c:formatCode>General</c:formatCode>
              <c:ptCount val="2"/>
              <c:pt idx="0">
                <c:v>2.5598596888211325E-2</c:v>
              </c:pt>
              <c:pt idx="1">
                <c:v>2.5518103838414578E-2</c:v>
              </c:pt>
            </c:numLit>
          </c:yVal>
          <c:smooth val="0"/>
          <c:extLst>
            <c:ext xmlns:c16="http://schemas.microsoft.com/office/drawing/2014/chart" uri="{C3380CC4-5D6E-409C-BE32-E72D297353CC}">
              <c16:uniqueId val="{0000004C-FB20-47BD-89DD-BDE675514303}"/>
            </c:ext>
          </c:extLst>
        </c:ser>
        <c:ser>
          <c:idx val="77"/>
          <c:order val="77"/>
          <c:spPr>
            <a:ln w="3175">
              <a:solidFill>
                <a:srgbClr val="000000"/>
              </a:solidFill>
              <a:prstDash val="solid"/>
            </a:ln>
          </c:spPr>
          <c:marker>
            <c:symbol val="none"/>
          </c:marker>
          <c:xVal>
            <c:numLit>
              <c:formatCode>General</c:formatCode>
              <c:ptCount val="2"/>
              <c:pt idx="0">
                <c:v>-8.7516509745654023</c:v>
              </c:pt>
              <c:pt idx="1">
                <c:v>-8.4710707853487577</c:v>
              </c:pt>
            </c:numLit>
          </c:xVal>
          <c:yVal>
            <c:numLit>
              <c:formatCode>General</c:formatCode>
              <c:ptCount val="2"/>
              <c:pt idx="0">
                <c:v>2.5485173311188873E-2</c:v>
              </c:pt>
              <c:pt idx="1">
                <c:v>2.5406635840306308E-2</c:v>
              </c:pt>
            </c:numLit>
          </c:yVal>
          <c:smooth val="0"/>
          <c:extLst>
            <c:ext xmlns:c16="http://schemas.microsoft.com/office/drawing/2014/chart" uri="{C3380CC4-5D6E-409C-BE32-E72D297353CC}">
              <c16:uniqueId val="{0000004D-FB20-47BD-89DD-BDE675514303}"/>
            </c:ext>
          </c:extLst>
        </c:ser>
        <c:ser>
          <c:idx val="78"/>
          <c:order val="78"/>
          <c:spPr>
            <a:ln w="3175">
              <a:solidFill>
                <a:srgbClr val="000000"/>
              </a:solidFill>
              <a:prstDash val="solid"/>
            </a:ln>
          </c:spPr>
          <c:marker>
            <c:symbol val="none"/>
          </c:marker>
          <c:xVal>
            <c:numLit>
              <c:formatCode>General</c:formatCode>
              <c:ptCount val="2"/>
              <c:pt idx="0">
                <c:v>-8.8573072883626267</c:v>
              </c:pt>
              <c:pt idx="1">
                <c:v>-8.5749054385632704</c:v>
              </c:pt>
            </c:numLit>
          </c:xVal>
          <c:yVal>
            <c:numLit>
              <c:formatCode>General</c:formatCode>
              <c:ptCount val="2"/>
              <c:pt idx="0">
                <c:v>2.5273063556165737E-2</c:v>
              </c:pt>
              <c:pt idx="1">
                <c:v>2.519818315002495E-2</c:v>
              </c:pt>
            </c:numLit>
          </c:yVal>
          <c:smooth val="0"/>
          <c:extLst>
            <c:ext xmlns:c16="http://schemas.microsoft.com/office/drawing/2014/chart" uri="{C3380CC4-5D6E-409C-BE32-E72D297353CC}">
              <c16:uniqueId val="{0000004E-FB20-47BD-89DD-BDE675514303}"/>
            </c:ext>
          </c:extLst>
        </c:ser>
        <c:ser>
          <c:idx val="79"/>
          <c:order val="79"/>
          <c:spPr>
            <a:ln w="3175">
              <a:solidFill>
                <a:srgbClr val="000000"/>
              </a:solidFill>
              <a:prstDash val="solid"/>
            </a:ln>
          </c:spPr>
          <c:marker>
            <c:symbol val="none"/>
          </c:marker>
          <c:xVal>
            <c:numLit>
              <c:formatCode>General</c:formatCode>
              <c:ptCount val="2"/>
              <c:pt idx="0">
                <c:v>-8.9491390821074628</c:v>
              </c:pt>
              <c:pt idx="1">
                <c:v>-8.6651539255194017</c:v>
              </c:pt>
            </c:numLit>
          </c:xVal>
          <c:yVal>
            <c:numLit>
              <c:formatCode>General</c:formatCode>
              <c:ptCount val="2"/>
              <c:pt idx="0">
                <c:v>2.5078714550976496E-2</c:v>
              </c:pt>
              <c:pt idx="1">
                <c:v>2.5007184989752764E-2</c:v>
              </c:pt>
            </c:numLit>
          </c:yVal>
          <c:smooth val="0"/>
          <c:extLst>
            <c:ext xmlns:c16="http://schemas.microsoft.com/office/drawing/2014/chart" uri="{C3380CC4-5D6E-409C-BE32-E72D297353CC}">
              <c16:uniqueId val="{0000004F-FB20-47BD-89DD-BDE675514303}"/>
            </c:ext>
          </c:extLst>
        </c:ser>
        <c:ser>
          <c:idx val="80"/>
          <c:order val="80"/>
          <c:spPr>
            <a:ln w="3175">
              <a:solidFill>
                <a:srgbClr val="000000"/>
              </a:solidFill>
              <a:prstDash val="solid"/>
            </a:ln>
          </c:spPr>
          <c:marker>
            <c:symbol val="none"/>
          </c:marker>
          <c:xVal>
            <c:numLit>
              <c:formatCode>General</c:formatCode>
              <c:ptCount val="2"/>
              <c:pt idx="0">
                <c:v>-9.0293977395002667</c:v>
              </c:pt>
              <c:pt idx="1">
                <c:v>-8.7440288129571595</c:v>
              </c:pt>
            </c:numLit>
          </c:xVal>
          <c:yVal>
            <c:numLit>
              <c:formatCode>General</c:formatCode>
              <c:ptCount val="2"/>
              <c:pt idx="0">
                <c:v>2.4900125447290717E-2</c:v>
              </c:pt>
              <c:pt idx="1">
                <c:v>2.4831675008544326E-2</c:v>
              </c:pt>
            </c:numLit>
          </c:yVal>
          <c:smooth val="0"/>
          <c:extLst>
            <c:ext xmlns:c16="http://schemas.microsoft.com/office/drawing/2014/chart" uri="{C3380CC4-5D6E-409C-BE32-E72D297353CC}">
              <c16:uniqueId val="{00000050-FB20-47BD-89DD-BDE675514303}"/>
            </c:ext>
          </c:extLst>
        </c:ser>
        <c:ser>
          <c:idx val="81"/>
          <c:order val="81"/>
          <c:spPr>
            <a:ln w="3175">
              <a:solidFill>
                <a:srgbClr val="000000"/>
              </a:solidFill>
              <a:prstDash val="solid"/>
            </a:ln>
          </c:spPr>
          <c:marker>
            <c:symbol val="none"/>
          </c:marker>
          <c:xVal>
            <c:numLit>
              <c:formatCode>General</c:formatCode>
              <c:ptCount val="2"/>
              <c:pt idx="0">
                <c:v>-9.0999057043833709</c:v>
              </c:pt>
              <c:pt idx="1">
                <c:v>-8.8133211232733135</c:v>
              </c:pt>
            </c:numLit>
          </c:xVal>
          <c:yVal>
            <c:numLit>
              <c:formatCode>General</c:formatCode>
              <c:ptCount val="2"/>
              <c:pt idx="0">
                <c:v>2.4735561478973527E-2</c:v>
              </c:pt>
              <c:pt idx="1">
                <c:v>2.466994835002571E-2</c:v>
              </c:pt>
            </c:numLit>
          </c:yVal>
          <c:smooth val="0"/>
          <c:extLst>
            <c:ext xmlns:c16="http://schemas.microsoft.com/office/drawing/2014/chart" uri="{C3380CC4-5D6E-409C-BE32-E72D297353CC}">
              <c16:uniqueId val="{00000051-FB20-47BD-89DD-BDE675514303}"/>
            </c:ext>
          </c:extLst>
        </c:ser>
        <c:ser>
          <c:idx val="82"/>
          <c:order val="82"/>
          <c:spPr>
            <a:ln w="3175">
              <a:solidFill>
                <a:srgbClr val="000000"/>
              </a:solidFill>
              <a:prstDash val="solid"/>
            </a:ln>
          </c:spPr>
          <c:marker>
            <c:symbol val="none"/>
          </c:marker>
          <c:xVal>
            <c:numLit>
              <c:formatCode>General</c:formatCode>
              <c:ptCount val="2"/>
              <c:pt idx="0">
                <c:v>-9.1621483944066782</c:v>
              </c:pt>
              <c:pt idx="1">
                <c:v>-8.5868329325305854</c:v>
              </c:pt>
            </c:numLit>
          </c:xVal>
          <c:yVal>
            <c:numLit>
              <c:formatCode>General</c:formatCode>
              <c:ptCount val="2"/>
              <c:pt idx="0">
                <c:v>2.4583516169954973E-2</c:v>
              </c:pt>
              <c:pt idx="1">
                <c:v>2.4457532853749627E-2</c:v>
              </c:pt>
            </c:numLit>
          </c:yVal>
          <c:smooth val="0"/>
          <c:extLst>
            <c:ext xmlns:c16="http://schemas.microsoft.com/office/drawing/2014/chart" uri="{C3380CC4-5D6E-409C-BE32-E72D297353CC}">
              <c16:uniqueId val="{00000052-FB20-47BD-89DD-BDE675514303}"/>
            </c:ext>
          </c:extLst>
        </c:ser>
        <c:ser>
          <c:idx val="83"/>
          <c:order val="83"/>
          <c:spPr>
            <a:ln w="3175">
              <a:solidFill>
                <a:srgbClr val="000000"/>
              </a:solidFill>
              <a:prstDash val="solid"/>
            </a:ln>
          </c:spPr>
          <c:marker>
            <c:symbol val="none"/>
          </c:marker>
          <c:xVal>
            <c:numLit>
              <c:formatCode>General</c:formatCode>
              <c:ptCount val="2"/>
              <c:pt idx="0">
                <c:v>-9.2890805085034174</c:v>
              </c:pt>
              <c:pt idx="1">
                <c:v>-8.9992342928395654</c:v>
              </c:pt>
            </c:numLit>
          </c:xVal>
          <c:yVal>
            <c:numLit>
              <c:formatCode>General</c:formatCode>
              <c:ptCount val="2"/>
              <c:pt idx="0">
                <c:v>2.4249973889194042E-2</c:v>
              </c:pt>
              <c:pt idx="1">
                <c:v>2.4192732960070008E-2</c:v>
              </c:pt>
            </c:numLit>
          </c:yVal>
          <c:smooth val="0"/>
          <c:extLst>
            <c:ext xmlns:c16="http://schemas.microsoft.com/office/drawing/2014/chart" uri="{C3380CC4-5D6E-409C-BE32-E72D297353CC}">
              <c16:uniqueId val="{00000053-FB20-47BD-89DD-BDE675514303}"/>
            </c:ext>
          </c:extLst>
        </c:ser>
        <c:ser>
          <c:idx val="84"/>
          <c:order val="84"/>
          <c:spPr>
            <a:ln w="3175">
              <a:solidFill>
                <a:srgbClr val="000000"/>
              </a:solidFill>
              <a:prstDash val="solid"/>
            </a:ln>
          </c:spPr>
          <c:marker>
            <c:symbol val="none"/>
          </c:marker>
          <c:xVal>
            <c:numLit>
              <c:formatCode>General</c:formatCode>
              <c:ptCount val="2"/>
              <c:pt idx="0">
                <c:v>-9.3854262264463078</c:v>
              </c:pt>
              <c:pt idx="1">
                <c:v>-8.8024115289826401</c:v>
              </c:pt>
            </c:numLit>
          </c:xVal>
          <c:yVal>
            <c:numLit>
              <c:formatCode>General</c:formatCode>
              <c:ptCount val="2"/>
              <c:pt idx="0">
                <c:v>2.3970556092921879E-2</c:v>
              </c:pt>
              <c:pt idx="1">
                <c:v>2.3865709331096985E-2</c:v>
              </c:pt>
            </c:numLit>
          </c:yVal>
          <c:smooth val="0"/>
          <c:extLst>
            <c:ext xmlns:c16="http://schemas.microsoft.com/office/drawing/2014/chart" uri="{C3380CC4-5D6E-409C-BE32-E72D297353CC}">
              <c16:uniqueId val="{00000054-FB20-47BD-89DD-BDE675514303}"/>
            </c:ext>
          </c:extLst>
        </c:ser>
        <c:ser>
          <c:idx val="85"/>
          <c:order val="85"/>
          <c:spPr>
            <a:ln w="3175">
              <a:solidFill>
                <a:srgbClr val="000000"/>
              </a:solidFill>
              <a:prstDash val="solid"/>
            </a:ln>
          </c:spPr>
          <c:marker>
            <c:symbol val="none"/>
          </c:marker>
          <c:xVal>
            <c:numLit>
              <c:formatCode>General</c:formatCode>
              <c:ptCount val="2"/>
              <c:pt idx="0">
                <c:v>-9.4601719381821585</c:v>
              </c:pt>
              <c:pt idx="1">
                <c:v>-9.1673758702824664</c:v>
              </c:pt>
            </c:numLit>
          </c:xVal>
          <c:yVal>
            <c:numLit>
              <c:formatCode>General</c:formatCode>
              <c:ptCount val="2"/>
              <c:pt idx="0">
                <c:v>2.3733423854580125E-2</c:v>
              </c:pt>
              <c:pt idx="1">
                <c:v>2.3685088960535641E-2</c:v>
              </c:pt>
            </c:numLit>
          </c:yVal>
          <c:smooth val="0"/>
          <c:extLst>
            <c:ext xmlns:c16="http://schemas.microsoft.com/office/drawing/2014/chart" uri="{C3380CC4-5D6E-409C-BE32-E72D297353CC}">
              <c16:uniqueId val="{00000055-FB20-47BD-89DD-BDE675514303}"/>
            </c:ext>
          </c:extLst>
        </c:ser>
        <c:ser>
          <c:idx val="86"/>
          <c:order val="86"/>
          <c:spPr>
            <a:ln w="3175">
              <a:solidFill>
                <a:srgbClr val="000000"/>
              </a:solidFill>
              <a:prstDash val="solid"/>
            </a:ln>
          </c:spPr>
          <c:marker>
            <c:symbol val="none"/>
          </c:marker>
          <c:xVal>
            <c:numLit>
              <c:formatCode>General</c:formatCode>
              <c:ptCount val="2"/>
              <c:pt idx="0">
                <c:v>-9.5192631793601503</c:v>
              </c:pt>
              <c:pt idx="1">
                <c:v>-8.9316334145546268</c:v>
              </c:pt>
            </c:numLit>
          </c:xVal>
          <c:yVal>
            <c:numLit>
              <c:formatCode>General</c:formatCode>
              <c:ptCount val="2"/>
              <c:pt idx="0">
                <c:v>2.3529865143833231E-2</c:v>
              </c:pt>
              <c:pt idx="1">
                <c:v>2.3440214621632083E-2</c:v>
              </c:pt>
            </c:numLit>
          </c:yVal>
          <c:smooth val="0"/>
          <c:extLst>
            <c:ext xmlns:c16="http://schemas.microsoft.com/office/drawing/2014/chart" uri="{C3380CC4-5D6E-409C-BE32-E72D297353CC}">
              <c16:uniqueId val="{00000056-FB20-47BD-89DD-BDE675514303}"/>
            </c:ext>
          </c:extLst>
        </c:ser>
        <c:ser>
          <c:idx val="87"/>
          <c:order val="87"/>
          <c:spPr>
            <a:ln w="3175">
              <a:solidFill>
                <a:srgbClr val="000000"/>
              </a:solidFill>
              <a:prstDash val="solid"/>
            </a:ln>
          </c:spPr>
          <c:marker>
            <c:symbol val="none"/>
          </c:marker>
          <c:xVal>
            <c:numLit>
              <c:formatCode>General</c:formatCode>
              <c:ptCount val="2"/>
              <c:pt idx="0">
                <c:v>-9.5667494735594438</c:v>
              </c:pt>
              <c:pt idx="1">
                <c:v>-9.2721158619463502</c:v>
              </c:pt>
            </c:numLit>
          </c:xVal>
          <c:yVal>
            <c:numLit>
              <c:formatCode>General</c:formatCode>
              <c:ptCount val="2"/>
              <c:pt idx="0">
                <c:v>2.3353355225599216E-2</c:v>
              </c:pt>
              <c:pt idx="1">
                <c:v>2.3311573238950951E-2</c:v>
              </c:pt>
            </c:numLit>
          </c:yVal>
          <c:smooth val="0"/>
          <c:extLst>
            <c:ext xmlns:c16="http://schemas.microsoft.com/office/drawing/2014/chart" uri="{C3380CC4-5D6E-409C-BE32-E72D297353CC}">
              <c16:uniqueId val="{00000057-FB20-47BD-89DD-BDE675514303}"/>
            </c:ext>
          </c:extLst>
        </c:ser>
        <c:ser>
          <c:idx val="88"/>
          <c:order val="88"/>
          <c:spPr>
            <a:ln w="3175">
              <a:solidFill>
                <a:srgbClr val="000000"/>
              </a:solidFill>
              <a:prstDash val="solid"/>
            </a:ln>
          </c:spPr>
          <c:marker>
            <c:symbol val="none"/>
          </c:marker>
          <c:xVal>
            <c:numLit>
              <c:formatCode>General</c:formatCode>
              <c:ptCount val="2"/>
              <c:pt idx="0">
                <c:v>-9.6054604899925025</c:v>
              </c:pt>
              <c:pt idx="1">
                <c:v>-9.0148584041306901</c:v>
              </c:pt>
            </c:numLit>
          </c:xVal>
          <c:yVal>
            <c:numLit>
              <c:formatCode>General</c:formatCode>
              <c:ptCount val="2"/>
              <c:pt idx="0">
                <c:v>2.3198926159195745E-2</c:v>
              </c:pt>
              <c:pt idx="1">
                <c:v>2.3120687326120031E-2</c:v>
              </c:pt>
            </c:numLit>
          </c:yVal>
          <c:smooth val="0"/>
          <c:extLst>
            <c:ext xmlns:c16="http://schemas.microsoft.com/office/drawing/2014/chart" uri="{C3380CC4-5D6E-409C-BE32-E72D297353CC}">
              <c16:uniqueId val="{00000058-FB20-47BD-89DD-BDE675514303}"/>
            </c:ext>
          </c:extLst>
        </c:ser>
        <c:ser>
          <c:idx val="89"/>
          <c:order val="89"/>
          <c:spPr>
            <a:ln w="3175">
              <a:solidFill>
                <a:srgbClr val="000000"/>
              </a:solidFill>
              <a:prstDash val="solid"/>
            </a:ln>
          </c:spPr>
          <c:marker>
            <c:symbol val="none"/>
          </c:marker>
          <c:xVal>
            <c:numLit>
              <c:formatCode>General</c:formatCode>
              <c:ptCount val="2"/>
              <c:pt idx="0">
                <c:v>-9.6640995467395676</c:v>
              </c:pt>
              <c:pt idx="1">
                <c:v>-9.3677874855888845</c:v>
              </c:pt>
            </c:numLit>
          </c:xVal>
          <c:yVal>
            <c:numLit>
              <c:formatCode>General</c:formatCode>
              <c:ptCount val="2"/>
              <c:pt idx="0">
                <c:v>2.294177753595765E-2</c:v>
              </c:pt>
              <c:pt idx="1">
                <c:v>2.2907091716372171E-2</c:v>
              </c:pt>
            </c:numLit>
          </c:yVal>
          <c:smooth val="0"/>
          <c:extLst>
            <c:ext xmlns:c16="http://schemas.microsoft.com/office/drawing/2014/chart" uri="{C3380CC4-5D6E-409C-BE32-E72D297353CC}">
              <c16:uniqueId val="{00000059-FB20-47BD-89DD-BDE675514303}"/>
            </c:ext>
          </c:extLst>
        </c:ser>
        <c:ser>
          <c:idx val="90"/>
          <c:order val="90"/>
          <c:spPr>
            <a:ln w="3175">
              <a:solidFill>
                <a:srgbClr val="000000"/>
              </a:solidFill>
              <a:prstDash val="solid"/>
            </a:ln>
          </c:spPr>
          <c:marker>
            <c:symbol val="none"/>
          </c:marker>
          <c:xVal>
            <c:numLit>
              <c:formatCode>General</c:formatCode>
              <c:ptCount val="2"/>
              <c:pt idx="0">
                <c:v>-9.7057408037734945</c:v>
              </c:pt>
              <c:pt idx="1">
                <c:v>-9.4087107899153306</c:v>
              </c:pt>
            </c:numLit>
          </c:xVal>
          <c:yVal>
            <c:numLit>
              <c:formatCode>General</c:formatCode>
              <c:ptCount val="2"/>
              <c:pt idx="0">
                <c:v>2.2736452704669185E-2</c:v>
              </c:pt>
              <c:pt idx="1">
                <c:v>2.2705306968381786E-2</c:v>
              </c:pt>
            </c:numLit>
          </c:yVal>
          <c:smooth val="0"/>
          <c:extLst>
            <c:ext xmlns:c16="http://schemas.microsoft.com/office/drawing/2014/chart" uri="{C3380CC4-5D6E-409C-BE32-E72D297353CC}">
              <c16:uniqueId val="{0000005A-FB20-47BD-89DD-BDE675514303}"/>
            </c:ext>
          </c:extLst>
        </c:ser>
        <c:ser>
          <c:idx val="91"/>
          <c:order val="91"/>
          <c:spPr>
            <a:ln w="3175">
              <a:solidFill>
                <a:srgbClr val="000000"/>
              </a:solidFill>
              <a:prstDash val="solid"/>
            </a:ln>
          </c:spPr>
          <c:marker>
            <c:symbol val="none"/>
          </c:marker>
          <c:xVal>
            <c:numLit>
              <c:formatCode>General</c:formatCode>
              <c:ptCount val="2"/>
              <c:pt idx="0">
                <c:v>-9.7363488755763594</c:v>
              </c:pt>
              <c:pt idx="1">
                <c:v>-9.4387911363422834</c:v>
              </c:pt>
            </c:numLit>
          </c:xVal>
          <c:yVal>
            <c:numLit>
              <c:formatCode>General</c:formatCode>
              <c:ptCount val="2"/>
              <c:pt idx="0">
                <c:v>2.2568842643838953E-2</c:v>
              </c:pt>
              <c:pt idx="1">
                <c:v>2.2540586736186558E-2</c:v>
              </c:pt>
            </c:numLit>
          </c:yVal>
          <c:smooth val="0"/>
          <c:extLst>
            <c:ext xmlns:c16="http://schemas.microsoft.com/office/drawing/2014/chart" uri="{C3380CC4-5D6E-409C-BE32-E72D297353CC}">
              <c16:uniqueId val="{0000005B-FB20-47BD-89DD-BDE675514303}"/>
            </c:ext>
          </c:extLst>
        </c:ser>
        <c:ser>
          <c:idx val="92"/>
          <c:order val="92"/>
          <c:spPr>
            <a:ln w="3175">
              <a:solidFill>
                <a:srgbClr val="000000"/>
              </a:solidFill>
              <a:prstDash val="solid"/>
            </a:ln>
          </c:spPr>
          <c:marker>
            <c:symbol val="none"/>
          </c:marker>
          <c:xVal>
            <c:numLit>
              <c:formatCode>General</c:formatCode>
              <c:ptCount val="2"/>
              <c:pt idx="0">
                <c:v>-9.7594920592975569</c:v>
              </c:pt>
              <c:pt idx="1">
                <c:v>-9.4615352996544964</c:v>
              </c:pt>
            </c:numLit>
          </c:xVal>
          <c:yVal>
            <c:numLit>
              <c:formatCode>General</c:formatCode>
              <c:ptCount val="2"/>
              <c:pt idx="0">
                <c:v>2.2429498103471914E-2</c:v>
              </c:pt>
              <c:pt idx="1">
                <c:v>2.2403644687894811E-2</c:v>
              </c:pt>
            </c:numLit>
          </c:yVal>
          <c:smooth val="0"/>
          <c:extLst>
            <c:ext xmlns:c16="http://schemas.microsoft.com/office/drawing/2014/chart" uri="{C3380CC4-5D6E-409C-BE32-E72D297353CC}">
              <c16:uniqueId val="{0000005C-FB20-47BD-89DD-BDE675514303}"/>
            </c:ext>
          </c:extLst>
        </c:ser>
        <c:ser>
          <c:idx val="93"/>
          <c:order val="93"/>
          <c:spPr>
            <a:ln w="3175">
              <a:solidFill>
                <a:srgbClr val="000000"/>
              </a:solidFill>
              <a:prstDash val="solid"/>
            </a:ln>
          </c:spPr>
          <c:marker>
            <c:symbol val="none"/>
          </c:marker>
          <c:xVal>
            <c:numLit>
              <c:formatCode>General</c:formatCode>
              <c:ptCount val="2"/>
              <c:pt idx="0">
                <c:v>-9.7774082431157812</c:v>
              </c:pt>
              <c:pt idx="1">
                <c:v>-9.1808769243876487</c:v>
              </c:pt>
            </c:numLit>
          </c:xVal>
          <c:yVal>
            <c:numLit>
              <c:formatCode>General</c:formatCode>
              <c:ptCount val="2"/>
              <c:pt idx="0">
                <c:v>2.2311864752467405E-2</c:v>
              </c:pt>
              <c:pt idx="1">
                <c:v>2.2264214243761633E-2</c:v>
              </c:pt>
            </c:numLit>
          </c:yVal>
          <c:smooth val="0"/>
          <c:extLst>
            <c:ext xmlns:c16="http://schemas.microsoft.com/office/drawing/2014/chart" uri="{C3380CC4-5D6E-409C-BE32-E72D297353CC}">
              <c16:uniqueId val="{0000005D-FB20-47BD-89DD-BDE675514303}"/>
            </c:ext>
          </c:extLst>
        </c:ser>
        <c:ser>
          <c:idx val="94"/>
          <c:order val="94"/>
          <c:spPr>
            <a:ln w="3175">
              <a:solidFill>
                <a:srgbClr val="000000"/>
              </a:solidFill>
              <a:prstDash val="solid"/>
            </a:ln>
          </c:spPr>
          <c:marker>
            <c:symbol val="none"/>
          </c:marker>
          <c:xVal>
            <c:numLit>
              <c:formatCode>General</c:formatCode>
              <c:ptCount val="2"/>
              <c:pt idx="0">
                <c:v>-9.826239533393677</c:v>
              </c:pt>
              <c:pt idx="1">
                <c:v>-9.5271319552317166</c:v>
              </c:pt>
            </c:numLit>
          </c:xVal>
          <c:yVal>
            <c:numLit>
              <c:formatCode>General</c:formatCode>
              <c:ptCount val="2"/>
              <c:pt idx="0">
                <c:v>2.19219477646126E-2</c:v>
              </c:pt>
              <c:pt idx="1">
                <c:v>2.1904845216946866E-2</c:v>
              </c:pt>
            </c:numLit>
          </c:yVal>
          <c:smooth val="0"/>
          <c:extLst>
            <c:ext xmlns:c16="http://schemas.microsoft.com/office/drawing/2014/chart" uri="{C3380CC4-5D6E-409C-BE32-E72D297353CC}">
              <c16:uniqueId val="{0000005E-FB20-47BD-89DD-BDE675514303}"/>
            </c:ext>
          </c:extLst>
        </c:ser>
        <c:ser>
          <c:idx val="95"/>
          <c:order val="95"/>
          <c:spPr>
            <a:ln w="3175">
              <a:solidFill>
                <a:srgbClr val="000000"/>
              </a:solidFill>
              <a:prstDash val="solid"/>
            </a:ln>
          </c:spPr>
          <c:marker>
            <c:symbol val="none"/>
          </c:marker>
          <c:xVal>
            <c:numLit>
              <c:formatCode>General</c:formatCode>
              <c:ptCount val="2"/>
              <c:pt idx="0">
                <c:v>-9.8465584490956477</c:v>
              </c:pt>
              <c:pt idx="1">
                <c:v>-9.2476426405061414</c:v>
              </c:pt>
            </c:numLit>
          </c:xVal>
          <c:yVal>
            <c:numLit>
              <c:formatCode>General</c:formatCode>
              <c:ptCount val="2"/>
              <c:pt idx="0">
                <c:v>2.1703336717703383E-2</c:v>
              </c:pt>
              <c:pt idx="1">
                <c:v>2.16766699343343E-2</c:v>
              </c:pt>
            </c:numLit>
          </c:yVal>
          <c:smooth val="0"/>
          <c:extLst>
            <c:ext xmlns:c16="http://schemas.microsoft.com/office/drawing/2014/chart" uri="{C3380CC4-5D6E-409C-BE32-E72D297353CC}">
              <c16:uniqueId val="{0000005F-FB20-47BD-89DD-BDE675514303}"/>
            </c:ext>
          </c:extLst>
        </c:ser>
        <c:ser>
          <c:idx val="96"/>
          <c:order val="96"/>
          <c:spPr>
            <a:ln w="3175">
              <a:solidFill>
                <a:srgbClr val="000000"/>
              </a:solidFill>
              <a:prstDash val="solid"/>
            </a:ln>
          </c:spPr>
          <c:marker>
            <c:symbol val="none"/>
          </c:marker>
          <c:xVal>
            <c:numLit>
              <c:formatCode>General</c:formatCode>
              <c:ptCount val="2"/>
              <c:pt idx="0">
                <c:v>-9.862870431265371</c:v>
              </c:pt>
              <c:pt idx="1">
                <c:v>-9.5631312858987254</c:v>
              </c:pt>
            </c:numLit>
          </c:xVal>
          <c:yVal>
            <c:numLit>
              <c:formatCode>General</c:formatCode>
              <c:ptCount val="2"/>
              <c:pt idx="0">
                <c:v>2.1466576659932901E-2</c:v>
              </c:pt>
              <c:pt idx="1">
                <c:v>2.1457325338209921E-2</c:v>
              </c:pt>
            </c:numLit>
          </c:yVal>
          <c:smooth val="0"/>
          <c:extLst>
            <c:ext xmlns:c16="http://schemas.microsoft.com/office/drawing/2014/chart" uri="{C3380CC4-5D6E-409C-BE32-E72D297353CC}">
              <c16:uniqueId val="{00000060-FB20-47BD-89DD-BDE675514303}"/>
            </c:ext>
          </c:extLst>
        </c:ser>
        <c:ser>
          <c:idx val="97"/>
          <c:order val="97"/>
          <c:spPr>
            <a:ln w="3175">
              <a:solidFill>
                <a:srgbClr val="000000"/>
              </a:solidFill>
              <a:prstDash val="solid"/>
            </a:ln>
          </c:spPr>
          <c:marker>
            <c:symbol val="none"/>
          </c:marker>
          <c:xVal>
            <c:numLit>
              <c:formatCode>General</c:formatCode>
              <c:ptCount val="2"/>
              <c:pt idx="0">
                <c:v>-9.8691357952931487</c:v>
              </c:pt>
              <c:pt idx="1">
                <c:v>-9.2694414575244188</c:v>
              </c:pt>
            </c:numLit>
          </c:xVal>
          <c:yVal>
            <c:numLit>
              <c:formatCode>General</c:formatCode>
              <c:ptCount val="2"/>
              <c:pt idx="0">
                <c:v>2.1340749932151591E-2</c:v>
              </c:pt>
              <c:pt idx="1">
                <c:v>2.1326586141387743E-2</c:v>
              </c:pt>
            </c:numLit>
          </c:yVal>
          <c:smooth val="0"/>
          <c:extLst>
            <c:ext xmlns:c16="http://schemas.microsoft.com/office/drawing/2014/chart" uri="{C3380CC4-5D6E-409C-BE32-E72D297353CC}">
              <c16:uniqueId val="{00000061-FB20-47BD-89DD-BDE675514303}"/>
            </c:ext>
          </c:extLst>
        </c:ser>
        <c:ser>
          <c:idx val="98"/>
          <c:order val="98"/>
          <c:spPr>
            <a:ln w="3175">
              <a:solidFill>
                <a:srgbClr val="000000"/>
              </a:solidFill>
              <a:prstDash val="solid"/>
            </a:ln>
          </c:spPr>
          <c:marker>
            <c:symbol val="none"/>
          </c:marker>
          <c:xVal>
            <c:numLit>
              <c:formatCode>General</c:formatCode>
              <c:ptCount val="2"/>
              <c:pt idx="0">
                <c:v>-9.8780000000000001</c:v>
              </c:pt>
              <c:pt idx="1">
                <c:v>-9.2779999999999987</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62-FB20-47BD-89DD-BDE675514303}"/>
            </c:ext>
          </c:extLst>
        </c:ser>
        <c:ser>
          <c:idx val="99"/>
          <c:order val="99"/>
          <c:spPr>
            <a:ln w="3175">
              <a:solidFill>
                <a:srgbClr val="000000"/>
              </a:solidFill>
              <a:prstDash val="solid"/>
            </a:ln>
          </c:spPr>
          <c:marker>
            <c:symbol val="none"/>
          </c:marker>
          <c:xVal>
            <c:numLit>
              <c:formatCode>General</c:formatCode>
              <c:ptCount val="2"/>
              <c:pt idx="0">
                <c:v>-9.8665090567206697</c:v>
              </c:pt>
              <c:pt idx="1">
                <c:v>-9.2669052961440936</c:v>
              </c:pt>
            </c:numLit>
          </c:xVal>
          <c:yVal>
            <c:numLit>
              <c:formatCode>General</c:formatCode>
              <c:ptCount val="2"/>
              <c:pt idx="0">
                <c:v>2.0462352026117177E-2</c:v>
              </c:pt>
              <c:pt idx="1">
                <c:v>2.0478477818320035E-2</c:v>
              </c:pt>
            </c:numLit>
          </c:yVal>
          <c:smooth val="0"/>
          <c:extLst>
            <c:ext xmlns:c16="http://schemas.microsoft.com/office/drawing/2014/chart" uri="{C3380CC4-5D6E-409C-BE32-E72D297353CC}">
              <c16:uniqueId val="{00000063-FB20-47BD-89DD-BDE675514303}"/>
            </c:ext>
          </c:extLst>
        </c:ser>
        <c:ser>
          <c:idx val="100"/>
          <c:order val="100"/>
          <c:spPr>
            <a:ln w="3175">
              <a:solidFill>
                <a:srgbClr val="000000"/>
              </a:solidFill>
              <a:prstDash val="solid"/>
            </a:ln>
          </c:spPr>
          <c:marker>
            <c:symbol val="none"/>
          </c:marker>
          <c:xVal>
            <c:numLit>
              <c:formatCode>General</c:formatCode>
              <c:ptCount val="2"/>
              <c:pt idx="0">
                <c:v>-9.8566117153194046</c:v>
              </c:pt>
              <c:pt idx="1">
                <c:v>-9.5569804788483808</c:v>
              </c:pt>
            </c:numLit>
          </c:xVal>
          <c:yVal>
            <c:numLit>
              <c:formatCode>General</c:formatCode>
              <c:ptCount val="2"/>
              <c:pt idx="0">
                <c:v>2.0292078253462336E-2</c:v>
              </c:pt>
              <c:pt idx="1">
                <c:v>2.0303076904264708E-2</c:v>
              </c:pt>
            </c:numLit>
          </c:yVal>
          <c:smooth val="0"/>
          <c:extLst>
            <c:ext xmlns:c16="http://schemas.microsoft.com/office/drawing/2014/chart" uri="{C3380CC4-5D6E-409C-BE32-E72D297353CC}">
              <c16:uniqueId val="{00000064-FB20-47BD-89DD-BDE675514303}"/>
            </c:ext>
          </c:extLst>
        </c:ser>
        <c:ser>
          <c:idx val="101"/>
          <c:order val="101"/>
          <c:spPr>
            <a:ln w="3175">
              <a:solidFill>
                <a:srgbClr val="000000"/>
              </a:solidFill>
              <a:prstDash val="solid"/>
            </a:ln>
          </c:spPr>
          <c:marker>
            <c:symbol val="none"/>
          </c:marker>
          <c:xVal>
            <c:numLit>
              <c:formatCode>General</c:formatCode>
              <c:ptCount val="2"/>
              <c:pt idx="0">
                <c:v>-9.825120498007605</c:v>
              </c:pt>
              <c:pt idx="1">
                <c:v>-9.2269439291107886</c:v>
              </c:pt>
            </c:numLit>
          </c:xVal>
          <c:yVal>
            <c:numLit>
              <c:formatCode>General</c:formatCode>
              <c:ptCount val="2"/>
              <c:pt idx="0">
                <c:v>1.9927403009249937E-2</c:v>
              </c:pt>
              <c:pt idx="1">
                <c:v>1.9961975319275804E-2</c:v>
              </c:pt>
            </c:numLit>
          </c:yVal>
          <c:smooth val="0"/>
          <c:extLst>
            <c:ext xmlns:c16="http://schemas.microsoft.com/office/drawing/2014/chart" uri="{C3380CC4-5D6E-409C-BE32-E72D297353CC}">
              <c16:uniqueId val="{00000065-FB20-47BD-89DD-BDE675514303}"/>
            </c:ext>
          </c:extLst>
        </c:ser>
        <c:ser>
          <c:idx val="102"/>
          <c:order val="102"/>
          <c:spPr>
            <a:ln w="3175">
              <a:solidFill>
                <a:srgbClr val="000000"/>
              </a:solidFill>
              <a:prstDash val="solid"/>
            </a:ln>
          </c:spPr>
          <c:marker>
            <c:symbol val="none"/>
          </c:marker>
          <c:xVal>
            <c:numLit>
              <c:formatCode>General</c:formatCode>
              <c:ptCount val="2"/>
              <c:pt idx="0">
                <c:v>-9.7743638069967425</c:v>
              </c:pt>
              <c:pt idx="1">
                <c:v>-9.1779374688244388</c:v>
              </c:pt>
            </c:numLit>
          </c:xVal>
          <c:yVal>
            <c:numLit>
              <c:formatCode>General</c:formatCode>
              <c:ptCount val="2"/>
              <c:pt idx="0">
                <c:v>1.9527441400141971E-2</c:v>
              </c:pt>
              <c:pt idx="1">
                <c:v>1.957580548979225E-2</c:v>
              </c:pt>
            </c:numLit>
          </c:yVal>
          <c:smooth val="0"/>
          <c:extLst>
            <c:ext xmlns:c16="http://schemas.microsoft.com/office/drawing/2014/chart" uri="{C3380CC4-5D6E-409C-BE32-E72D297353CC}">
              <c16:uniqueId val="{00000066-FB20-47BD-89DD-BDE675514303}"/>
            </c:ext>
          </c:extLst>
        </c:ser>
        <c:ser>
          <c:idx val="103"/>
          <c:order val="103"/>
          <c:spPr>
            <a:ln w="3175">
              <a:solidFill>
                <a:srgbClr val="000000"/>
              </a:solidFill>
              <a:prstDash val="solid"/>
            </a:ln>
          </c:spPr>
          <c:marker>
            <c:symbol val="none"/>
          </c:marker>
          <c:xVal>
            <c:numLit>
              <c:formatCode>General</c:formatCode>
              <c:ptCount val="2"/>
              <c:pt idx="0">
                <c:v>-9.7555947041230944</c:v>
              </c:pt>
              <c:pt idx="1">
                <c:v>-9.4577051402589021</c:v>
              </c:pt>
            </c:numLit>
          </c:xVal>
          <c:yVal>
            <c:numLit>
              <c:formatCode>General</c:formatCode>
              <c:ptCount val="2"/>
              <c:pt idx="0">
                <c:v>1.9406130083083659E-2</c:v>
              </c:pt>
              <c:pt idx="1">
                <c:v>1.9432403702340839E-2</c:v>
              </c:pt>
            </c:numLit>
          </c:yVal>
          <c:smooth val="0"/>
          <c:extLst>
            <c:ext xmlns:c16="http://schemas.microsoft.com/office/drawing/2014/chart" uri="{C3380CC4-5D6E-409C-BE32-E72D297353CC}">
              <c16:uniqueId val="{00000067-FB20-47BD-89DD-BDE675514303}"/>
            </c:ext>
          </c:extLst>
        </c:ser>
        <c:ser>
          <c:idx val="104"/>
          <c:order val="104"/>
          <c:spPr>
            <a:ln w="3175">
              <a:solidFill>
                <a:srgbClr val="000000"/>
              </a:solidFill>
              <a:prstDash val="solid"/>
            </a:ln>
          </c:spPr>
          <c:marker>
            <c:symbol val="none"/>
          </c:marker>
          <c:xVal>
            <c:numLit>
              <c:formatCode>General</c:formatCode>
              <c:ptCount val="2"/>
              <c:pt idx="0">
                <c:v>-9.7312495160578543</c:v>
              </c:pt>
              <c:pt idx="1">
                <c:v>-9.4337796968154759</c:v>
              </c:pt>
            </c:numLit>
          </c:xVal>
          <c:yVal>
            <c:numLit>
              <c:formatCode>General</c:formatCode>
              <c:ptCount val="2"/>
              <c:pt idx="0">
                <c:v>1.9262042185935597E-2</c:v>
              </c:pt>
              <c:pt idx="1">
                <c:v>1.9290800079281533E-2</c:v>
              </c:pt>
            </c:numLit>
          </c:yVal>
          <c:smooth val="0"/>
          <c:extLst>
            <c:ext xmlns:c16="http://schemas.microsoft.com/office/drawing/2014/chart" uri="{C3380CC4-5D6E-409C-BE32-E72D297353CC}">
              <c16:uniqueId val="{00000068-FB20-47BD-89DD-BDE675514303}"/>
            </c:ext>
          </c:extLst>
        </c:ser>
        <c:ser>
          <c:idx val="105"/>
          <c:order val="105"/>
          <c:spPr>
            <a:ln w="3175">
              <a:solidFill>
                <a:srgbClr val="000000"/>
              </a:solidFill>
              <a:prstDash val="solid"/>
            </a:ln>
          </c:spPr>
          <c:marker>
            <c:symbol val="none"/>
          </c:marker>
          <c:xVal>
            <c:numLit>
              <c:formatCode>General</c:formatCode>
              <c:ptCount val="2"/>
              <c:pt idx="0">
                <c:v>-9.6988930377242379</c:v>
              </c:pt>
              <c:pt idx="1">
                <c:v>-9.1050691398716754</c:v>
              </c:pt>
            </c:numLit>
          </c:xVal>
          <c:yVal>
            <c:numLit>
              <c:formatCode>General</c:formatCode>
              <c:ptCount val="2"/>
              <c:pt idx="0">
                <c:v>1.9088173676807301E-2</c:v>
              </c:pt>
              <c:pt idx="1">
                <c:v>1.9151684929331187E-2</c:v>
              </c:pt>
            </c:numLit>
          </c:yVal>
          <c:smooth val="0"/>
          <c:extLst>
            <c:ext xmlns:c16="http://schemas.microsoft.com/office/drawing/2014/chart" uri="{C3380CC4-5D6E-409C-BE32-E72D297353CC}">
              <c16:uniqueId val="{00000069-FB20-47BD-89DD-BDE675514303}"/>
            </c:ext>
          </c:extLst>
        </c:ser>
        <c:ser>
          <c:idx val="106"/>
          <c:order val="106"/>
          <c:spPr>
            <a:ln w="3175">
              <a:solidFill>
                <a:srgbClr val="000000"/>
              </a:solidFill>
              <a:prstDash val="solid"/>
            </a:ln>
          </c:spPr>
          <c:marker>
            <c:symbol val="none"/>
          </c:marker>
          <c:xVal>
            <c:numLit>
              <c:formatCode>General</c:formatCode>
              <c:ptCount val="2"/>
              <c:pt idx="0">
                <c:v>-9.6546103310984979</c:v>
              </c:pt>
              <c:pt idx="1">
                <c:v>-9.3584618771140402</c:v>
              </c:pt>
            </c:numLit>
          </c:xVal>
          <c:yVal>
            <c:numLit>
              <c:formatCode>General</c:formatCode>
              <c:ptCount val="2"/>
              <c:pt idx="0">
                <c:v>1.8874364740294421E-2</c:v>
              </c:pt>
              <c:pt idx="1">
                <c:v>1.8909806727530724E-2</c:v>
              </c:pt>
            </c:numLit>
          </c:yVal>
          <c:smooth val="0"/>
          <c:extLst>
            <c:ext xmlns:c16="http://schemas.microsoft.com/office/drawing/2014/chart" uri="{C3380CC4-5D6E-409C-BE32-E72D297353CC}">
              <c16:uniqueId val="{0000006A-FB20-47BD-89DD-BDE675514303}"/>
            </c:ext>
          </c:extLst>
        </c:ser>
        <c:ser>
          <c:idx val="107"/>
          <c:order val="107"/>
          <c:spPr>
            <a:ln w="3175">
              <a:solidFill>
                <a:srgbClr val="000000"/>
              </a:solidFill>
              <a:prstDash val="solid"/>
            </a:ln>
          </c:spPr>
          <c:marker>
            <c:symbol val="none"/>
          </c:marker>
          <c:xVal>
            <c:numLit>
              <c:formatCode>General</c:formatCode>
              <c:ptCount val="2"/>
              <c:pt idx="0">
                <c:v>-9.5917920119000488</c:v>
              </c:pt>
              <c:pt idx="1">
                <c:v>-9.0016612528690114</c:v>
              </c:pt>
            </c:numLit>
          </c:xVal>
          <c:yVal>
            <c:numLit>
              <c:formatCode>General</c:formatCode>
              <c:ptCount val="2"/>
              <c:pt idx="0">
                <c:v>1.8605334220365727E-2</c:v>
              </c:pt>
              <c:pt idx="1">
                <c:v>1.8685495109318634E-2</c:v>
              </c:pt>
            </c:numLit>
          </c:yVal>
          <c:smooth val="0"/>
          <c:extLst>
            <c:ext xmlns:c16="http://schemas.microsoft.com/office/drawing/2014/chart" uri="{C3380CC4-5D6E-409C-BE32-E72D297353CC}">
              <c16:uniqueId val="{0000006B-FB20-47BD-89DD-BDE675514303}"/>
            </c:ext>
          </c:extLst>
        </c:ser>
        <c:ser>
          <c:idx val="108"/>
          <c:order val="108"/>
          <c:spPr>
            <a:ln w="3175">
              <a:solidFill>
                <a:srgbClr val="000000"/>
              </a:solidFill>
              <a:prstDash val="solid"/>
            </a:ln>
          </c:spPr>
          <c:marker>
            <c:symbol val="none"/>
          </c:marker>
          <c:xVal>
            <c:numLit>
              <c:formatCode>General</c:formatCode>
              <c:ptCount val="2"/>
              <c:pt idx="0">
                <c:v>-9.5500552853147749</c:v>
              </c:pt>
              <c:pt idx="1">
                <c:v>-9.2557095045334847</c:v>
              </c:pt>
            </c:numLit>
          </c:xVal>
          <c:yVal>
            <c:numLit>
              <c:formatCode>General</c:formatCode>
              <c:ptCount val="2"/>
              <c:pt idx="0">
                <c:v>1.8443106339845548E-2</c:v>
              </c:pt>
              <c:pt idx="1">
                <c:v>1.8485983816744763E-2</c:v>
              </c:pt>
            </c:numLit>
          </c:yVal>
          <c:smooth val="0"/>
          <c:extLst>
            <c:ext xmlns:c16="http://schemas.microsoft.com/office/drawing/2014/chart" uri="{C3380CC4-5D6E-409C-BE32-E72D297353CC}">
              <c16:uniqueId val="{0000006C-FB20-47BD-89DD-BDE675514303}"/>
            </c:ext>
          </c:extLst>
        </c:ser>
        <c:ser>
          <c:idx val="109"/>
          <c:order val="109"/>
          <c:spPr>
            <a:ln w="3175">
              <a:solidFill>
                <a:srgbClr val="000000"/>
              </a:solidFill>
              <a:prstDash val="solid"/>
            </a:ln>
          </c:spPr>
          <c:marker>
            <c:symbol val="none"/>
          </c:marker>
          <c:xVal>
            <c:numLit>
              <c:formatCode>General</c:formatCode>
              <c:ptCount val="2"/>
              <c:pt idx="0">
                <c:v>-9.4985920174877663</c:v>
              </c:pt>
              <c:pt idx="1">
                <c:v>-8.9116750513674958</c:v>
              </c:pt>
            </c:numLit>
          </c:xVal>
          <c:yVal>
            <c:numLit>
              <c:formatCode>General</c:formatCode>
              <c:ptCount val="2"/>
              <c:pt idx="0">
                <c:v>1.8257081553294929E-2</c:v>
              </c:pt>
              <c:pt idx="1">
                <c:v>1.8349251154905447E-2</c:v>
              </c:pt>
            </c:numLit>
          </c:yVal>
          <c:smooth val="0"/>
          <c:extLst>
            <c:ext xmlns:c16="http://schemas.microsoft.com/office/drawing/2014/chart" uri="{C3380CC4-5D6E-409C-BE32-E72D297353CC}">
              <c16:uniqueId val="{0000006D-FB20-47BD-89DD-BDE675514303}"/>
            </c:ext>
          </c:extLst>
        </c:ser>
        <c:ser>
          <c:idx val="110"/>
          <c:order val="110"/>
          <c:spPr>
            <a:ln w="3175">
              <a:solidFill>
                <a:srgbClr val="000000"/>
              </a:solidFill>
              <a:prstDash val="solid"/>
            </a:ln>
          </c:spPr>
          <c:marker>
            <c:symbol val="none"/>
          </c:marker>
          <c:xVal>
            <c:numLit>
              <c:formatCode>General</c:formatCode>
              <c:ptCount val="2"/>
              <c:pt idx="0">
                <c:v>-9.4341733564072943</c:v>
              </c:pt>
              <c:pt idx="1">
                <c:v>-9.1418255399175123</c:v>
              </c:pt>
            </c:numLit>
          </c:xVal>
          <c:yVal>
            <c:numLit>
              <c:formatCode>General</c:formatCode>
              <c:ptCount val="2"/>
              <c:pt idx="0">
                <c:v>1.8041765933534418E-2</c:v>
              </c:pt>
              <c:pt idx="1">
                <c:v>1.8091563072611408E-2</c:v>
              </c:pt>
            </c:numLit>
          </c:yVal>
          <c:smooth val="0"/>
          <c:extLst>
            <c:ext xmlns:c16="http://schemas.microsoft.com/office/drawing/2014/chart" uri="{C3380CC4-5D6E-409C-BE32-E72D297353CC}">
              <c16:uniqueId val="{0000006E-FB20-47BD-89DD-BDE675514303}"/>
            </c:ext>
          </c:extLst>
        </c:ser>
        <c:ser>
          <c:idx val="111"/>
          <c:order val="111"/>
          <c:spPr>
            <a:ln w="3175">
              <a:solidFill>
                <a:srgbClr val="000000"/>
              </a:solidFill>
              <a:prstDash val="solid"/>
            </a:ln>
          </c:spPr>
          <c:marker>
            <c:symbol val="none"/>
          </c:marker>
          <c:xVal>
            <c:numLit>
              <c:formatCode>General</c:formatCode>
              <c:ptCount val="2"/>
              <c:pt idx="0">
                <c:v>-9.3521355422659074</c:v>
              </c:pt>
              <c:pt idx="1">
                <c:v>-8.7702687994291519</c:v>
              </c:pt>
            </c:numLit>
          </c:xVal>
          <c:yVal>
            <c:numLit>
              <c:formatCode>General</c:formatCode>
              <c:ptCount val="2"/>
              <c:pt idx="0">
                <c:v>1.7789900045223919E-2</c:v>
              </c:pt>
              <c:pt idx="1">
                <c:v>1.7898179354009301E-2</c:v>
              </c:pt>
            </c:numLit>
          </c:yVal>
          <c:smooth val="0"/>
          <c:extLst>
            <c:ext xmlns:c16="http://schemas.microsoft.com/office/drawing/2014/chart" uri="{C3380CC4-5D6E-409C-BE32-E72D297353CC}">
              <c16:uniqueId val="{0000006F-FB20-47BD-89DD-BDE675514303}"/>
            </c:ext>
          </c:extLst>
        </c:ser>
        <c:ser>
          <c:idx val="112"/>
          <c:order val="112"/>
          <c:spPr>
            <a:ln w="3175">
              <a:solidFill>
                <a:srgbClr val="000000"/>
              </a:solidFill>
              <a:prstDash val="solid"/>
            </a:ln>
          </c:spPr>
          <c:marker>
            <c:symbol val="none"/>
          </c:marker>
          <c:xVal>
            <c:numLit>
              <c:formatCode>General</c:formatCode>
              <c:ptCount val="2"/>
              <c:pt idx="0">
                <c:v>-9.2455590364770597</c:v>
              </c:pt>
              <c:pt idx="1">
                <c:v>-8.9564631910205588</c:v>
              </c:pt>
            </c:numLit>
          </c:xVal>
          <c:yVal>
            <c:numLit>
              <c:formatCode>General</c:formatCode>
              <c:ptCount val="2"/>
              <c:pt idx="0">
                <c:v>1.7491727600755014E-2</c:v>
              </c:pt>
              <c:pt idx="1">
                <c:v>1.7551008159362686E-2</c:v>
              </c:pt>
            </c:numLit>
          </c:yVal>
          <c:smooth val="0"/>
          <c:extLst>
            <c:ext xmlns:c16="http://schemas.microsoft.com/office/drawing/2014/chart" uri="{C3380CC4-5D6E-409C-BE32-E72D297353CC}">
              <c16:uniqueId val="{00000070-FB20-47BD-89DD-BDE675514303}"/>
            </c:ext>
          </c:extLst>
        </c:ser>
        <c:ser>
          <c:idx val="113"/>
          <c:order val="113"/>
          <c:spPr>
            <a:ln w="3175">
              <a:solidFill>
                <a:srgbClr val="000000"/>
              </a:solidFill>
              <a:prstDash val="solid"/>
            </a:ln>
          </c:spPr>
          <c:marker>
            <c:symbol val="none"/>
          </c:marker>
          <c:xVal>
            <c:numLit>
              <c:formatCode>General</c:formatCode>
              <c:ptCount val="2"/>
              <c:pt idx="0">
                <c:v>-9.1038600359190358</c:v>
              </c:pt>
              <c:pt idx="1">
                <c:v>-8.530554517439068</c:v>
              </c:pt>
            </c:numLit>
          </c:xVal>
          <c:yVal>
            <c:numLit>
              <c:formatCode>General</c:formatCode>
              <c:ptCount val="2"/>
              <c:pt idx="0">
                <c:v>1.7133900318625845E-2</c:v>
              </c:pt>
              <c:pt idx="1">
                <c:v>1.7264800307638748E-2</c:v>
              </c:pt>
            </c:numLit>
          </c:yVal>
          <c:smooth val="0"/>
          <c:extLst>
            <c:ext xmlns:c16="http://schemas.microsoft.com/office/drawing/2014/chart" uri="{C3380CC4-5D6E-409C-BE32-E72D297353CC}">
              <c16:uniqueId val="{00000071-FB20-47BD-89DD-BDE675514303}"/>
            </c:ext>
          </c:extLst>
        </c:ser>
        <c:ser>
          <c:idx val="114"/>
          <c:order val="114"/>
          <c:spPr>
            <a:ln w="3175">
              <a:solidFill>
                <a:srgbClr val="000000"/>
              </a:solidFill>
              <a:prstDash val="solid"/>
            </a:ln>
          </c:spPr>
          <c:marker>
            <c:symbol val="none"/>
          </c:marker>
          <c:xVal>
            <c:numLit>
              <c:formatCode>General</c:formatCode>
              <c:ptCount val="2"/>
              <c:pt idx="0">
                <c:v>-9.033886916005148</c:v>
              </c:pt>
              <c:pt idx="1">
                <c:v>-8.748440589867128</c:v>
              </c:pt>
            </c:numLit>
          </c:xVal>
          <c:yVal>
            <c:numLit>
              <c:formatCode>General</c:formatCode>
              <c:ptCount val="2"/>
              <c:pt idx="0">
                <c:v>1.6970127856038714E-2</c:v>
              </c:pt>
              <c:pt idx="1">
                <c:v>1.7038401513693218E-2</c:v>
              </c:pt>
            </c:numLit>
          </c:yVal>
          <c:smooth val="0"/>
          <c:extLst>
            <c:ext xmlns:c16="http://schemas.microsoft.com/office/drawing/2014/chart" uri="{C3380CC4-5D6E-409C-BE32-E72D297353CC}">
              <c16:uniqueId val="{00000072-FB20-47BD-89DD-BDE675514303}"/>
            </c:ext>
          </c:extLst>
        </c:ser>
        <c:ser>
          <c:idx val="115"/>
          <c:order val="115"/>
          <c:spPr>
            <a:ln w="3175">
              <a:solidFill>
                <a:srgbClr val="000000"/>
              </a:solidFill>
              <a:prstDash val="solid"/>
            </a:ln>
          </c:spPr>
          <c:marker>
            <c:symbol val="none"/>
          </c:marker>
          <c:xVal>
            <c:numLit>
              <c:formatCode>General</c:formatCode>
              <c:ptCount val="2"/>
              <c:pt idx="0">
                <c:v>-8.954260939861248</c:v>
              </c:pt>
              <c:pt idx="1">
                <c:v>-8.6701874753808799</c:v>
              </c:pt>
            </c:numLit>
          </c:xVal>
          <c:yVal>
            <c:numLit>
              <c:formatCode>General</c:formatCode>
              <c:ptCount val="2"/>
              <c:pt idx="0">
                <c:v>1.6792426733524612E-2</c:v>
              </c:pt>
              <c:pt idx="1">
                <c:v>1.6863764203636257E-2</c:v>
              </c:pt>
            </c:numLit>
          </c:yVal>
          <c:smooth val="0"/>
          <c:extLst>
            <c:ext xmlns:c16="http://schemas.microsoft.com/office/drawing/2014/chart" uri="{C3380CC4-5D6E-409C-BE32-E72D297353CC}">
              <c16:uniqueId val="{00000073-FB20-47BD-89DD-BDE675514303}"/>
            </c:ext>
          </c:extLst>
        </c:ser>
        <c:ser>
          <c:idx val="116"/>
          <c:order val="116"/>
          <c:spPr>
            <a:ln w="3175">
              <a:solidFill>
                <a:srgbClr val="000000"/>
              </a:solidFill>
              <a:prstDash val="solid"/>
            </a:ln>
          </c:spPr>
          <c:marker>
            <c:symbol val="none"/>
          </c:marker>
          <c:xVal>
            <c:numLit>
              <c:formatCode>General</c:formatCode>
              <c:ptCount val="2"/>
              <c:pt idx="0">
                <c:v>-8.8631822315685405</c:v>
              </c:pt>
              <c:pt idx="1">
                <c:v>-8.5806790896449439</c:v>
              </c:pt>
            </c:numLit>
          </c:xVal>
          <c:yVal>
            <c:numLit>
              <c:formatCode>General</c:formatCode>
              <c:ptCount val="2"/>
              <c:pt idx="0">
                <c:v>1.6599076898329495E-2</c:v>
              </c:pt>
              <c:pt idx="1">
                <c:v>1.6673747986289334E-2</c:v>
              </c:pt>
            </c:numLit>
          </c:yVal>
          <c:smooth val="0"/>
          <c:extLst>
            <c:ext xmlns:c16="http://schemas.microsoft.com/office/drawing/2014/chart" uri="{C3380CC4-5D6E-409C-BE32-E72D297353CC}">
              <c16:uniqueId val="{00000074-FB20-47BD-89DD-BDE675514303}"/>
            </c:ext>
          </c:extLst>
        </c:ser>
        <c:ser>
          <c:idx val="117"/>
          <c:order val="117"/>
          <c:spPr>
            <a:ln w="3175">
              <a:solidFill>
                <a:srgbClr val="000000"/>
              </a:solidFill>
              <a:prstDash val="solid"/>
            </a:ln>
          </c:spPr>
          <c:marker>
            <c:symbol val="none"/>
          </c:marker>
          <c:xVal>
            <c:numLit>
              <c:formatCode>General</c:formatCode>
              <c:ptCount val="2"/>
              <c:pt idx="0">
                <c:v>-8.7584282202067296</c:v>
              </c:pt>
              <c:pt idx="1">
                <c:v>-8.477731181927302</c:v>
              </c:pt>
            </c:numLit>
          </c:xVal>
          <c:yVal>
            <c:numLit>
              <c:formatCode>General</c:formatCode>
              <c:ptCount val="2"/>
              <c:pt idx="0">
                <c:v>1.6388094622981707E-2</c:v>
              </c:pt>
              <c:pt idx="1">
                <c:v>1.6466403336378575E-2</c:v>
              </c:pt>
            </c:numLit>
          </c:yVal>
          <c:smooth val="0"/>
          <c:extLst>
            <c:ext xmlns:c16="http://schemas.microsoft.com/office/drawing/2014/chart" uri="{C3380CC4-5D6E-409C-BE32-E72D297353CC}">
              <c16:uniqueId val="{00000075-FB20-47BD-89DD-BDE675514303}"/>
            </c:ext>
          </c:extLst>
        </c:ser>
        <c:ser>
          <c:idx val="118"/>
          <c:order val="118"/>
          <c:spPr>
            <a:ln w="3175">
              <a:solidFill>
                <a:srgbClr val="000000"/>
              </a:solidFill>
              <a:prstDash val="solid"/>
            </a:ln>
          </c:spPr>
          <c:marker>
            <c:symbol val="none"/>
          </c:marker>
          <c:xVal>
            <c:numLit>
              <c:formatCode>General</c:formatCode>
              <c:ptCount val="2"/>
              <c:pt idx="0">
                <c:v>-8.6372348348493126</c:v>
              </c:pt>
              <c:pt idx="1">
                <c:v>-8.0800198405441641</c:v>
              </c:pt>
            </c:numLit>
          </c:xVal>
          <c:yVal>
            <c:numLit>
              <c:formatCode>General</c:formatCode>
              <c:ptCount val="2"/>
              <c:pt idx="0">
                <c:v>1.6157190180898885E-2</c:v>
              </c:pt>
              <c:pt idx="1">
                <c:v>1.6321769829833407E-2</c:v>
              </c:pt>
            </c:numLit>
          </c:yVal>
          <c:smooth val="0"/>
          <c:extLst>
            <c:ext xmlns:c16="http://schemas.microsoft.com/office/drawing/2014/chart" uri="{C3380CC4-5D6E-409C-BE32-E72D297353CC}">
              <c16:uniqueId val="{00000076-FB20-47BD-89DD-BDE675514303}"/>
            </c:ext>
          </c:extLst>
        </c:ser>
        <c:ser>
          <c:idx val="119"/>
          <c:order val="119"/>
          <c:spPr>
            <a:ln w="3175">
              <a:solidFill>
                <a:srgbClr val="000000"/>
              </a:solidFill>
              <a:prstDash val="solid"/>
            </a:ln>
          </c:spPr>
          <c:marker>
            <c:symbol val="none"/>
          </c:marker>
          <c:xVal>
            <c:numLit>
              <c:formatCode>General</c:formatCode>
              <c:ptCount val="2"/>
              <c:pt idx="0">
                <c:v>-8.5694238961193641</c:v>
              </c:pt>
              <c:pt idx="1">
                <c:v>-8.2919855530828226</c:v>
              </c:pt>
            </c:numLit>
          </c:xVal>
          <c:yVal>
            <c:numLit>
              <c:formatCode>General</c:formatCode>
              <c:ptCount val="2"/>
              <c:pt idx="0">
                <c:v>1.6033456612372633E-2</c:v>
              </c:pt>
              <c:pt idx="1">
                <c:v>1.611787977422828E-2</c:v>
              </c:pt>
            </c:numLit>
          </c:yVal>
          <c:smooth val="0"/>
          <c:extLst>
            <c:ext xmlns:c16="http://schemas.microsoft.com/office/drawing/2014/chart" uri="{C3380CC4-5D6E-409C-BE32-E72D297353CC}">
              <c16:uniqueId val="{00000077-FB20-47BD-89DD-BDE675514303}"/>
            </c:ext>
          </c:extLst>
        </c:ser>
        <c:ser>
          <c:idx val="120"/>
          <c:order val="120"/>
          <c:spPr>
            <a:ln w="3175">
              <a:solidFill>
                <a:srgbClr val="000000"/>
              </a:solidFill>
              <a:prstDash val="solid"/>
            </a:ln>
          </c:spPr>
          <c:marker>
            <c:symbol val="none"/>
          </c:marker>
          <c:xVal>
            <c:numLit>
              <c:formatCode>General</c:formatCode>
              <c:ptCount val="2"/>
              <c:pt idx="0">
                <c:v>-8.496139552640436</c:v>
              </c:pt>
              <c:pt idx="1">
                <c:v>-8.2199647327673251</c:v>
              </c:pt>
            </c:numLit>
          </c:xVal>
          <c:yVal>
            <c:numLit>
              <c:formatCode>General</c:formatCode>
              <c:ptCount val="2"/>
              <c:pt idx="0">
                <c:v>1.590372165004483E-2</c:v>
              </c:pt>
              <c:pt idx="1">
                <c:v>1.599038162159578E-2</c:v>
              </c:pt>
            </c:numLit>
          </c:yVal>
          <c:smooth val="0"/>
          <c:extLst>
            <c:ext xmlns:c16="http://schemas.microsoft.com/office/drawing/2014/chart" uri="{C3380CC4-5D6E-409C-BE32-E72D297353CC}">
              <c16:uniqueId val="{00000078-FB20-47BD-89DD-BDE675514303}"/>
            </c:ext>
          </c:extLst>
        </c:ser>
        <c:ser>
          <c:idx val="121"/>
          <c:order val="121"/>
          <c:spPr>
            <a:ln w="3175">
              <a:solidFill>
                <a:srgbClr val="000000"/>
              </a:solidFill>
              <a:prstDash val="solid"/>
            </a:ln>
          </c:spPr>
          <c:marker>
            <c:symbol val="none"/>
          </c:marker>
          <c:xVal>
            <c:numLit>
              <c:formatCode>General</c:formatCode>
              <c:ptCount val="2"/>
              <c:pt idx="0">
                <c:v>-8.4168057372568565</c:v>
              </c:pt>
              <c:pt idx="1">
                <c:v>-8.1419987417869102</c:v>
              </c:pt>
            </c:numLit>
          </c:xVal>
          <c:yVal>
            <c:numLit>
              <c:formatCode>General</c:formatCode>
              <c:ptCount val="2"/>
              <c:pt idx="0">
                <c:v>1.5767592217746176E-2</c:v>
              </c:pt>
              <c:pt idx="1">
                <c:v>1.5856599248474688E-2</c:v>
              </c:pt>
            </c:numLit>
          </c:yVal>
          <c:smooth val="0"/>
          <c:extLst>
            <c:ext xmlns:c16="http://schemas.microsoft.com/office/drawing/2014/chart" uri="{C3380CC4-5D6E-409C-BE32-E72D297353CC}">
              <c16:uniqueId val="{00000079-FB20-47BD-89DD-BDE675514303}"/>
            </c:ext>
          </c:extLst>
        </c:ser>
        <c:ser>
          <c:idx val="122"/>
          <c:order val="122"/>
          <c:spPr>
            <a:ln w="3175">
              <a:solidFill>
                <a:srgbClr val="000000"/>
              </a:solidFill>
              <a:prstDash val="solid"/>
            </a:ln>
          </c:spPr>
          <c:marker>
            <c:symbol val="none"/>
          </c:marker>
          <c:xVal>
            <c:numLit>
              <c:formatCode>General</c:formatCode>
              <c:ptCount val="2"/>
              <c:pt idx="0">
                <c:v>-8.3307730905498314</c:v>
              </c:pt>
              <c:pt idx="1">
                <c:v>-8.0574494165748334</c:v>
              </c:pt>
            </c:numLit>
          </c:xVal>
          <c:yVal>
            <c:numLit>
              <c:formatCode>General</c:formatCode>
              <c:ptCount val="2"/>
              <c:pt idx="0">
                <c:v>1.5624647462044871E-2</c:v>
              </c:pt>
              <c:pt idx="1">
                <c:v>1.5716119057526855E-2</c:v>
              </c:pt>
            </c:numLit>
          </c:yVal>
          <c:smooth val="0"/>
          <c:extLst>
            <c:ext xmlns:c16="http://schemas.microsoft.com/office/drawing/2014/chart" uri="{C3380CC4-5D6E-409C-BE32-E72D297353CC}">
              <c16:uniqueId val="{0000007A-FB20-47BD-89DD-BDE675514303}"/>
            </c:ext>
          </c:extLst>
        </c:ser>
        <c:ser>
          <c:idx val="123"/>
          <c:order val="123"/>
          <c:spPr>
            <a:ln w="3175">
              <a:solidFill>
                <a:srgbClr val="000000"/>
              </a:solidFill>
              <a:prstDash val="solid"/>
            </a:ln>
          </c:spPr>
          <c:marker>
            <c:symbol val="none"/>
          </c:marker>
          <c:xVal>
            <c:numLit>
              <c:formatCode>General</c:formatCode>
              <c:ptCount val="2"/>
              <c:pt idx="0">
                <c:v>-8.2373083506110412</c:v>
              </c:pt>
              <c:pt idx="1">
                <c:v>-7.6938839247279001</c:v>
              </c:pt>
            </c:numLit>
          </c:xVal>
          <c:yVal>
            <c:numLit>
              <c:formatCode>General</c:formatCode>
              <c:ptCount val="2"/>
              <c:pt idx="0">
                <c:v>1.5474437646003199E-2</c:v>
              </c:pt>
              <c:pt idx="1">
                <c:v>1.5662560485796194E-2</c:v>
              </c:pt>
            </c:numLit>
          </c:yVal>
          <c:smooth val="0"/>
          <c:extLst>
            <c:ext xmlns:c16="http://schemas.microsoft.com/office/drawing/2014/chart" uri="{C3380CC4-5D6E-409C-BE32-E72D297353CC}">
              <c16:uniqueId val="{0000007B-FB20-47BD-89DD-BDE675514303}"/>
            </c:ext>
          </c:extLst>
        </c:ser>
        <c:ser>
          <c:idx val="124"/>
          <c:order val="124"/>
          <c:spPr>
            <a:ln w="3175">
              <a:solidFill>
                <a:srgbClr val="000000"/>
              </a:solidFill>
              <a:prstDash val="solid"/>
            </a:ln>
          </c:spPr>
          <c:marker>
            <c:symbol val="none"/>
          </c:marker>
          <c:xVal>
            <c:numLit>
              <c:formatCode>General</c:formatCode>
              <c:ptCount val="2"/>
              <c:pt idx="0">
                <c:v>-8.135582109378646</c:v>
              </c:pt>
              <c:pt idx="1">
                <c:v>-7.865623797147979</c:v>
              </c:pt>
            </c:numLit>
          </c:xVal>
          <c:yVal>
            <c:numLit>
              <c:formatCode>General</c:formatCode>
              <c:ptCount val="2"/>
              <c:pt idx="0">
                <c:v>1.5316483392004664E-2</c:v>
              </c:pt>
              <c:pt idx="1">
                <c:v>1.5413268161108032E-2</c:v>
              </c:pt>
            </c:numLit>
          </c:yVal>
          <c:smooth val="0"/>
          <c:extLst>
            <c:ext xmlns:c16="http://schemas.microsoft.com/office/drawing/2014/chart" uri="{C3380CC4-5D6E-409C-BE32-E72D297353CC}">
              <c16:uniqueId val="{0000007C-FB20-47BD-89DD-BDE675514303}"/>
            </c:ext>
          </c:extLst>
        </c:ser>
        <c:ser>
          <c:idx val="125"/>
          <c:order val="125"/>
          <c:spPr>
            <a:ln w="3175">
              <a:solidFill>
                <a:srgbClr val="000000"/>
              </a:solidFill>
              <a:prstDash val="solid"/>
            </a:ln>
          </c:spPr>
          <c:marker>
            <c:symbol val="none"/>
          </c:marker>
          <c:xVal>
            <c:numLit>
              <c:formatCode>General</c:formatCode>
              <c:ptCount val="2"/>
              <c:pt idx="0">
                <c:v>-8.0246546988258096</c:v>
              </c:pt>
              <c:pt idx="1">
                <c:v>-7.7566089281563979</c:v>
              </c:pt>
            </c:numLit>
          </c:xVal>
          <c:yVal>
            <c:numLit>
              <c:formatCode>General</c:formatCode>
              <c:ptCount val="2"/>
              <c:pt idx="0">
                <c:v>1.5150275451951677E-2</c:v>
              </c:pt>
              <c:pt idx="1">
                <c:v>1.5249925875193889E-2</c:v>
              </c:pt>
            </c:numLit>
          </c:yVal>
          <c:smooth val="0"/>
          <c:extLst>
            <c:ext xmlns:c16="http://schemas.microsoft.com/office/drawing/2014/chart" uri="{C3380CC4-5D6E-409C-BE32-E72D297353CC}">
              <c16:uniqueId val="{0000007D-FB20-47BD-89DD-BDE675514303}"/>
            </c:ext>
          </c:extLst>
        </c:ser>
        <c:ser>
          <c:idx val="126"/>
          <c:order val="126"/>
          <c:spPr>
            <a:ln w="3175">
              <a:solidFill>
                <a:srgbClr val="000000"/>
              </a:solidFill>
              <a:prstDash val="solid"/>
            </a:ln>
          </c:spPr>
          <c:marker>
            <c:symbol val="none"/>
          </c:marker>
          <c:xVal>
            <c:numLit>
              <c:formatCode>General</c:formatCode>
              <c:ptCount val="2"/>
              <c:pt idx="0">
                <c:v>-7.9034599509797507</c:v>
              </c:pt>
              <c:pt idx="1">
                <c:v>-7.6375037449283747</c:v>
              </c:pt>
            </c:numLit>
          </c:xVal>
          <c:yVal>
            <c:numLit>
              <c:formatCode>General</c:formatCode>
              <c:ptCount val="2"/>
              <c:pt idx="0">
                <c:v>1.4975275245324009E-2</c:v>
              </c:pt>
              <c:pt idx="1">
                <c:v>1.5077942913508079E-2</c:v>
              </c:pt>
            </c:numLit>
          </c:yVal>
          <c:smooth val="0"/>
          <c:extLst>
            <c:ext xmlns:c16="http://schemas.microsoft.com/office/drawing/2014/chart" uri="{C3380CC4-5D6E-409C-BE32-E72D297353CC}">
              <c16:uniqueId val="{0000007E-FB20-47BD-89DD-BDE675514303}"/>
            </c:ext>
          </c:extLst>
        </c:ser>
        <c:ser>
          <c:idx val="127"/>
          <c:order val="127"/>
          <c:spPr>
            <a:ln w="3175">
              <a:solidFill>
                <a:srgbClr val="000000"/>
              </a:solidFill>
              <a:prstDash val="solid"/>
            </a:ln>
          </c:spPr>
          <c:marker>
            <c:symbol val="none"/>
          </c:marker>
          <c:xVal>
            <c:numLit>
              <c:formatCode>General</c:formatCode>
              <c:ptCount val="2"/>
              <c:pt idx="0">
                <c:v>-7.7707865642283949</c:v>
              </c:pt>
              <c:pt idx="1">
                <c:v>-7.5071178303623878</c:v>
              </c:pt>
            </c:numLit>
          </c:xVal>
          <c:yVal>
            <c:numLit>
              <c:formatCode>General</c:formatCode>
              <c:ptCount val="2"/>
              <c:pt idx="0">
                <c:v>1.4790916486985731E-2</c:v>
              </c:pt>
              <c:pt idx="1">
                <c:v>1.4896762754451495E-2</c:v>
              </c:pt>
            </c:numLit>
          </c:yVal>
          <c:smooth val="0"/>
          <c:extLst>
            <c:ext xmlns:c16="http://schemas.microsoft.com/office/drawing/2014/chart" uri="{C3380CC4-5D6E-409C-BE32-E72D297353CC}">
              <c16:uniqueId val="{0000007F-FB20-47BD-89DD-BDE675514303}"/>
            </c:ext>
          </c:extLst>
        </c:ser>
        <c:ser>
          <c:idx val="128"/>
          <c:order val="128"/>
          <c:spPr>
            <a:ln w="3175">
              <a:solidFill>
                <a:srgbClr val="000000"/>
              </a:solidFill>
              <a:prstDash val="solid"/>
            </a:ln>
          </c:spPr>
          <c:marker>
            <c:symbol val="none"/>
          </c:marker>
          <c:xVal>
            <c:numLit>
              <c:formatCode>General</c:formatCode>
              <c:ptCount val="2"/>
              <c:pt idx="0">
                <c:v>-7.6252568113761559</c:v>
              </c:pt>
              <c:pt idx="1">
                <c:v>-7.1029376109838731</c:v>
              </c:pt>
            </c:numLit>
          </c:xVal>
          <c:yVal>
            <c:numLit>
              <c:formatCode>General</c:formatCode>
              <c:ptCount val="2"/>
              <c:pt idx="0">
                <c:v>1.4596608332400495E-2</c:v>
              </c:pt>
              <c:pt idx="1">
                <c:v>1.4815001148524616E-2</c:v>
              </c:pt>
            </c:numLit>
          </c:yVal>
          <c:smooth val="0"/>
          <c:extLst>
            <c:ext xmlns:c16="http://schemas.microsoft.com/office/drawing/2014/chart" uri="{C3380CC4-5D6E-409C-BE32-E72D297353CC}">
              <c16:uniqueId val="{00000080-FB20-47BD-89DD-BDE675514303}"/>
            </c:ext>
          </c:extLst>
        </c:ser>
        <c:ser>
          <c:idx val="129"/>
          <c:order val="129"/>
          <c:spPr>
            <a:ln w="3175">
              <a:solidFill>
                <a:srgbClr val="000000"/>
              </a:solidFill>
              <a:prstDash val="solid"/>
            </a:ln>
          </c:spPr>
          <c:marker>
            <c:symbol val="none"/>
          </c:marker>
          <c:xVal>
            <c:numLit>
              <c:formatCode>General</c:formatCode>
              <c:ptCount val="2"/>
              <c:pt idx="0">
                <c:v>-7.4653023527450681</c:v>
              </c:pt>
              <c:pt idx="1">
                <c:v>-7.2069005880425658</c:v>
              </c:pt>
            </c:numLit>
          </c:xVal>
          <c:yVal>
            <c:numLit>
              <c:formatCode>General</c:formatCode>
              <c:ptCount val="2"/>
              <c:pt idx="0">
                <c:v>1.4391740604136366E-2</c:v>
              </c:pt>
              <c:pt idx="1">
                <c:v>1.4504469214409878E-2</c:v>
              </c:pt>
            </c:numLit>
          </c:yVal>
          <c:smooth val="0"/>
          <c:extLst>
            <c:ext xmlns:c16="http://schemas.microsoft.com/office/drawing/2014/chart" uri="{C3380CC4-5D6E-409C-BE32-E72D297353CC}">
              <c16:uniqueId val="{00000081-FB20-47BD-89DD-BDE675514303}"/>
            </c:ext>
          </c:extLst>
        </c:ser>
        <c:ser>
          <c:idx val="130"/>
          <c:order val="130"/>
          <c:spPr>
            <a:ln w="3175">
              <a:solidFill>
                <a:srgbClr val="000000"/>
              </a:solidFill>
              <a:prstDash val="solid"/>
            </a:ln>
          </c:spPr>
          <c:marker>
            <c:symbol val="none"/>
          </c:marker>
          <c:xVal>
            <c:numLit>
              <c:formatCode>General</c:formatCode>
              <c:ptCount val="2"/>
              <c:pt idx="0">
                <c:v>-7.2891369857220321</c:v>
              </c:pt>
              <c:pt idx="1">
                <c:v>-7.0337725549337202</c:v>
              </c:pt>
            </c:numLit>
          </c:xVal>
          <c:yVal>
            <c:numLit>
              <c:formatCode>General</c:formatCode>
              <c:ptCount val="2"/>
              <c:pt idx="0">
                <c:v>1.4175691836973547E-2</c:v>
              </c:pt>
              <c:pt idx="1">
                <c:v>1.4292145425991245E-2</c:v>
              </c:pt>
            </c:numLit>
          </c:yVal>
          <c:smooth val="0"/>
          <c:extLst>
            <c:ext xmlns:c16="http://schemas.microsoft.com/office/drawing/2014/chart" uri="{C3380CC4-5D6E-409C-BE32-E72D297353CC}">
              <c16:uniqueId val="{00000082-FB20-47BD-89DD-BDE675514303}"/>
            </c:ext>
          </c:extLst>
        </c:ser>
        <c:ser>
          <c:idx val="131"/>
          <c:order val="131"/>
          <c:spPr>
            <a:ln w="3175">
              <a:solidFill>
                <a:srgbClr val="000000"/>
              </a:solidFill>
              <a:prstDash val="solid"/>
            </a:ln>
          </c:spPr>
          <c:marker>
            <c:symbol val="none"/>
          </c:marker>
          <c:xVal>
            <c:numLit>
              <c:formatCode>General</c:formatCode>
              <c:ptCount val="2"/>
              <c:pt idx="0">
                <c:v>-7.0947262932026645</c:v>
              </c:pt>
              <c:pt idx="1">
                <c:v>-6.8427137709060659</c:v>
              </c:pt>
            </c:numLit>
          </c:xVal>
          <c:yVal>
            <c:numLit>
              <c:formatCode>General</c:formatCode>
              <c:ptCount val="2"/>
              <c:pt idx="0">
                <c:v>1.3947841096409371E-2</c:v>
              </c:pt>
              <c:pt idx="1">
                <c:v>1.4068223146471279E-2</c:v>
              </c:pt>
            </c:numLit>
          </c:yVal>
          <c:smooth val="0"/>
          <c:extLst>
            <c:ext xmlns:c16="http://schemas.microsoft.com/office/drawing/2014/chart" uri="{C3380CC4-5D6E-409C-BE32-E72D297353CC}">
              <c16:uniqueId val="{00000083-FB20-47BD-89DD-BDE675514303}"/>
            </c:ext>
          </c:extLst>
        </c:ser>
        <c:ser>
          <c:idx val="132"/>
          <c:order val="132"/>
          <c:spPr>
            <a:ln w="3175">
              <a:solidFill>
                <a:srgbClr val="000000"/>
              </a:solidFill>
              <a:prstDash val="solid"/>
            </a:ln>
          </c:spPr>
          <c:marker>
            <c:symbol val="none"/>
          </c:marker>
          <c:xVal>
            <c:numLit>
              <c:formatCode>General</c:formatCode>
              <c:ptCount val="2"/>
              <c:pt idx="0">
                <c:v>-6.8797543799888556</c:v>
              </c:pt>
              <c:pt idx="1">
                <c:v>-6.6314482699890469</c:v>
              </c:pt>
            </c:numLit>
          </c:xVal>
          <c:yVal>
            <c:numLit>
              <c:formatCode>General</c:formatCode>
              <c:ptCount val="2"/>
              <c:pt idx="0">
                <c:v>1.3707584792488141E-2</c:v>
              </c:pt>
              <c:pt idx="1">
                <c:v>1.3832109192617657E-2</c:v>
              </c:pt>
            </c:numLit>
          </c:yVal>
          <c:smooth val="0"/>
          <c:extLst>
            <c:ext xmlns:c16="http://schemas.microsoft.com/office/drawing/2014/chart" uri="{C3380CC4-5D6E-409C-BE32-E72D297353CC}">
              <c16:uniqueId val="{00000084-FB20-47BD-89DD-BDE675514303}"/>
            </c:ext>
          </c:extLst>
        </c:ser>
        <c:ser>
          <c:idx val="133"/>
          <c:order val="133"/>
          <c:spPr>
            <a:ln w="3175">
              <a:solidFill>
                <a:srgbClr val="000000"/>
              </a:solidFill>
              <a:prstDash val="solid"/>
            </a:ln>
          </c:spPr>
          <c:marker>
            <c:symbol val="none"/>
          </c:marker>
          <c:xVal>
            <c:numLit>
              <c:formatCode>General</c:formatCode>
              <c:ptCount val="2"/>
              <c:pt idx="0">
                <c:v>-6.6415882541581794</c:v>
              </c:pt>
              <c:pt idx="1">
                <c:v>-6.1531886591872063</c:v>
              </c:pt>
            </c:numLit>
          </c:xVal>
          <c:yVal>
            <c:numLit>
              <c:formatCode>General</c:formatCode>
              <c:ptCount val="2"/>
              <c:pt idx="0">
                <c:v>1.3454360029547155E-2</c:v>
              </c:pt>
              <c:pt idx="1">
                <c:v>1.3712140718183462E-2</c:v>
              </c:pt>
            </c:numLit>
          </c:yVal>
          <c:smooth val="0"/>
          <c:extLst>
            <c:ext xmlns:c16="http://schemas.microsoft.com/office/drawing/2014/chart" uri="{C3380CC4-5D6E-409C-BE32-E72D297353CC}">
              <c16:uniqueId val="{00000085-FB20-47BD-89DD-BDE675514303}"/>
            </c:ext>
          </c:extLst>
        </c:ser>
        <c:ser>
          <c:idx val="134"/>
          <c:order val="134"/>
          <c:spPr>
            <a:ln w="3175">
              <a:solidFill>
                <a:srgbClr val="000000"/>
              </a:solidFill>
              <a:prstDash val="solid"/>
            </a:ln>
          </c:spPr>
          <c:marker>
            <c:symbol val="none"/>
          </c:marker>
          <c:xVal>
            <c:numLit>
              <c:formatCode>General</c:formatCode>
              <c:ptCount val="2"/>
              <c:pt idx="0">
                <c:v>-6.5128887746212865</c:v>
              </c:pt>
              <c:pt idx="1">
                <c:v>-6.2709079336795401</c:v>
              </c:pt>
            </c:numLit>
          </c:xVal>
          <c:yVal>
            <c:numLit>
              <c:formatCode>General</c:formatCode>
              <c:ptCount val="2"/>
              <c:pt idx="0">
                <c:v>1.3322727312893847E-2</c:v>
              </c:pt>
              <c:pt idx="1">
                <c:v>1.3453887186809472E-2</c:v>
              </c:pt>
            </c:numLit>
          </c:yVal>
          <c:smooth val="0"/>
          <c:extLst>
            <c:ext xmlns:c16="http://schemas.microsoft.com/office/drawing/2014/chart" uri="{C3380CC4-5D6E-409C-BE32-E72D297353CC}">
              <c16:uniqueId val="{00000086-FB20-47BD-89DD-BDE675514303}"/>
            </c:ext>
          </c:extLst>
        </c:ser>
        <c:ser>
          <c:idx val="135"/>
          <c:order val="135"/>
          <c:spPr>
            <a:ln w="3175">
              <a:solidFill>
                <a:srgbClr val="000000"/>
              </a:solidFill>
              <a:prstDash val="solid"/>
            </a:ln>
          </c:spPr>
          <c:marker>
            <c:symbol val="none"/>
          </c:marker>
          <c:xVal>
            <c:numLit>
              <c:formatCode>General</c:formatCode>
              <c:ptCount val="2"/>
              <c:pt idx="0">
                <c:v>-6.377240982176394</c:v>
              </c:pt>
              <c:pt idx="1">
                <c:v>-5.8979568103772069</c:v>
              </c:pt>
            </c:numLit>
          </c:xVal>
          <c:yVal>
            <c:numLit>
              <c:formatCode>General</c:formatCode>
              <c:ptCount val="2"/>
              <c:pt idx="0">
                <c:v>1.3187676396417802E-2</c:v>
              </c:pt>
              <c:pt idx="1">
                <c:v>1.3454653072403396E-2</c:v>
              </c:pt>
            </c:numLit>
          </c:yVal>
          <c:smooth val="0"/>
          <c:extLst>
            <c:ext xmlns:c16="http://schemas.microsoft.com/office/drawing/2014/chart" uri="{C3380CC4-5D6E-409C-BE32-E72D297353CC}">
              <c16:uniqueId val="{00000087-FB20-47BD-89DD-BDE675514303}"/>
            </c:ext>
          </c:extLst>
        </c:ser>
        <c:ser>
          <c:idx val="136"/>
          <c:order val="136"/>
          <c:spPr>
            <a:ln w="3175">
              <a:solidFill>
                <a:srgbClr val="000000"/>
              </a:solidFill>
              <a:prstDash val="solid"/>
            </a:ln>
          </c:spPr>
          <c:marker>
            <c:symbol val="none"/>
          </c:marker>
          <c:xVal>
            <c:numLit>
              <c:formatCode>General</c:formatCode>
              <c:ptCount val="2"/>
              <c:pt idx="0">
                <c:v>-6.2342102755987439</c:v>
              </c:pt>
              <c:pt idx="1">
                <c:v>-5.9970342363642821</c:v>
              </c:pt>
            </c:numLit>
          </c:xVal>
          <c:yVal>
            <c:numLit>
              <c:formatCode>General</c:formatCode>
              <c:ptCount val="2"/>
              <c:pt idx="0">
                <c:v>1.304916427263535E-2</c:v>
              </c:pt>
              <c:pt idx="1">
                <c:v>1.3185040750693362E-2</c:v>
              </c:pt>
            </c:numLit>
          </c:yVal>
          <c:smooth val="0"/>
          <c:extLst>
            <c:ext xmlns:c16="http://schemas.microsoft.com/office/drawing/2014/chart" uri="{C3380CC4-5D6E-409C-BE32-E72D297353CC}">
              <c16:uniqueId val="{00000088-FB20-47BD-89DD-BDE675514303}"/>
            </c:ext>
          </c:extLst>
        </c:ser>
        <c:ser>
          <c:idx val="137"/>
          <c:order val="137"/>
          <c:spPr>
            <a:ln w="3175">
              <a:solidFill>
                <a:srgbClr val="000000"/>
              </a:solidFill>
              <a:prstDash val="solid"/>
            </a:ln>
          </c:spPr>
          <c:marker>
            <c:symbol val="none"/>
          </c:marker>
          <c:xVal>
            <c:numLit>
              <c:formatCode>General</c:formatCode>
              <c:ptCount val="2"/>
              <c:pt idx="0">
                <c:v>-6.0833356038875808</c:v>
              </c:pt>
              <c:pt idx="1">
                <c:v>-5.6141861003052496</c:v>
              </c:pt>
            </c:numLit>
          </c:xVal>
          <c:yVal>
            <c:numLit>
              <c:formatCode>General</c:formatCode>
              <c:ptCount val="2"/>
              <c:pt idx="0">
                <c:v>1.2907158489149532E-2</c:v>
              </c:pt>
              <c:pt idx="1">
                <c:v>1.3183808196420238E-2</c:v>
              </c:pt>
            </c:numLit>
          </c:yVal>
          <c:smooth val="0"/>
          <c:extLst>
            <c:ext xmlns:c16="http://schemas.microsoft.com/office/drawing/2014/chart" uri="{C3380CC4-5D6E-409C-BE32-E72D297353CC}">
              <c16:uniqueId val="{00000089-FB20-47BD-89DD-BDE675514303}"/>
            </c:ext>
          </c:extLst>
        </c:ser>
        <c:ser>
          <c:idx val="138"/>
          <c:order val="138"/>
          <c:spPr>
            <a:ln w="3175">
              <a:solidFill>
                <a:srgbClr val="000000"/>
              </a:solidFill>
              <a:prstDash val="solid"/>
            </a:ln>
          </c:spPr>
          <c:marker>
            <c:symbol val="none"/>
          </c:marker>
          <c:xVal>
            <c:numLit>
              <c:formatCode>General</c:formatCode>
              <c:ptCount val="2"/>
              <c:pt idx="0">
                <c:v>-5.9241286231448873</c:v>
              </c:pt>
              <c:pt idx="1">
                <c:v>-5.6922988192975605</c:v>
              </c:pt>
            </c:numLit>
          </c:xVal>
          <c:yVal>
            <c:numLit>
              <c:formatCode>General</c:formatCode>
              <c:ptCount val="2"/>
              <c:pt idx="0">
                <c:v>1.2761639254297252E-2</c:v>
              </c:pt>
              <c:pt idx="1">
                <c:v>1.2902473060257644E-2</c:v>
              </c:pt>
            </c:numLit>
          </c:yVal>
          <c:smooth val="0"/>
          <c:extLst>
            <c:ext xmlns:c16="http://schemas.microsoft.com/office/drawing/2014/chart" uri="{C3380CC4-5D6E-409C-BE32-E72D297353CC}">
              <c16:uniqueId val="{0000008A-FB20-47BD-89DD-BDE675514303}"/>
            </c:ext>
          </c:extLst>
        </c:ser>
        <c:ser>
          <c:idx val="139"/>
          <c:order val="139"/>
          <c:spPr>
            <a:ln w="3175">
              <a:solidFill>
                <a:srgbClr val="000000"/>
              </a:solidFill>
              <a:prstDash val="solid"/>
            </a:ln>
          </c:spPr>
          <c:marker>
            <c:symbol val="none"/>
          </c:marker>
          <c:xVal>
            <c:numLit>
              <c:formatCode>General</c:formatCode>
              <c:ptCount val="2"/>
              <c:pt idx="0">
                <c:v>-5.7560730377038629</c:v>
              </c:pt>
              <c:pt idx="1">
                <c:v>-5.2982084501968325</c:v>
              </c:pt>
            </c:numLit>
          </c:xVal>
          <c:yVal>
            <c:numLit>
              <c:formatCode>General</c:formatCode>
              <c:ptCount val="2"/>
              <c:pt idx="0">
                <c:v>1.2612601820716014E-2</c:v>
              </c:pt>
              <c:pt idx="1">
                <c:v>1.2899408654484428E-2</c:v>
              </c:pt>
            </c:numLit>
          </c:yVal>
          <c:smooth val="0"/>
          <c:extLst>
            <c:ext xmlns:c16="http://schemas.microsoft.com/office/drawing/2014/chart" uri="{C3380CC4-5D6E-409C-BE32-E72D297353CC}">
              <c16:uniqueId val="{0000008B-FB20-47BD-89DD-BDE675514303}"/>
            </c:ext>
          </c:extLst>
        </c:ser>
        <c:ser>
          <c:idx val="140"/>
          <c:order val="140"/>
          <c:spPr>
            <a:ln w="3175">
              <a:solidFill>
                <a:srgbClr val="000000"/>
              </a:solidFill>
              <a:prstDash val="solid"/>
            </a:ln>
          </c:spPr>
          <c:marker>
            <c:symbol val="none"/>
          </c:marker>
          <c:xVal>
            <c:numLit>
              <c:formatCode>General</c:formatCode>
              <c:ptCount val="2"/>
              <c:pt idx="0">
                <c:v>-5.578624186981501</c:v>
              </c:pt>
              <c:pt idx="1">
                <c:v>-5.352751356171475</c:v>
              </c:pt>
            </c:numLit>
          </c:xVal>
          <c:yVal>
            <c:numLit>
              <c:formatCode>General</c:formatCode>
              <c:ptCount val="2"/>
              <c:pt idx="0">
                <c:v>1.2460059169599368E-2</c:v>
              </c:pt>
              <c:pt idx="1">
                <c:v>1.2606092632192483E-2</c:v>
              </c:pt>
            </c:numLit>
          </c:yVal>
          <c:smooth val="0"/>
          <c:extLst>
            <c:ext xmlns:c16="http://schemas.microsoft.com/office/drawing/2014/chart" uri="{C3380CC4-5D6E-409C-BE32-E72D297353CC}">
              <c16:uniqueId val="{0000008C-FB20-47BD-89DD-BDE675514303}"/>
            </c:ext>
          </c:extLst>
        </c:ser>
        <c:ser>
          <c:idx val="141"/>
          <c:order val="141"/>
          <c:spPr>
            <a:ln w="3175">
              <a:solidFill>
                <a:srgbClr val="000000"/>
              </a:solidFill>
              <a:prstDash val="solid"/>
            </a:ln>
          </c:spPr>
          <c:marker>
            <c:symbol val="none"/>
          </c:marker>
          <c:xVal>
            <c:numLit>
              <c:formatCode>General</c:formatCode>
              <c:ptCount val="2"/>
              <c:pt idx="0">
                <c:v>-5.3912089513591752</c:v>
              </c:pt>
              <c:pt idx="1">
                <c:v>-4.9459258840709275</c:v>
              </c:pt>
            </c:numLit>
          </c:xVal>
          <c:yVal>
            <c:numLit>
              <c:formatCode>General</c:formatCode>
              <c:ptCount val="2"/>
              <c:pt idx="0">
                <c:v>1.2304045016555564E-2</c:v>
              </c:pt>
              <c:pt idx="1">
                <c:v>1.2601491740122614E-2</c:v>
              </c:pt>
            </c:numLit>
          </c:yVal>
          <c:smooth val="0"/>
          <c:extLst>
            <c:ext xmlns:c16="http://schemas.microsoft.com/office/drawing/2014/chart" uri="{C3380CC4-5D6E-409C-BE32-E72D297353CC}">
              <c16:uniqueId val="{0000008D-FB20-47BD-89DD-BDE675514303}"/>
            </c:ext>
          </c:extLst>
        </c:ser>
        <c:ser>
          <c:idx val="142"/>
          <c:order val="142"/>
          <c:spPr>
            <a:ln w="3175">
              <a:solidFill>
                <a:srgbClr val="000000"/>
              </a:solidFill>
              <a:prstDash val="solid"/>
            </a:ln>
          </c:spPr>
          <c:marker>
            <c:symbol val="none"/>
          </c:marker>
          <c:xVal>
            <c:numLit>
              <c:formatCode>General</c:formatCode>
              <c:ptCount val="2"/>
              <c:pt idx="0">
                <c:v>-5.1932260635615615</c:v>
              </c:pt>
              <c:pt idx="1">
                <c:v>-4.9739980279829137</c:v>
              </c:pt>
            </c:numLit>
          </c:xVal>
          <c:yVal>
            <c:numLit>
              <c:formatCode>General</c:formatCode>
              <c:ptCount val="2"/>
              <c:pt idx="0">
                <c:v>1.214461715663261E-2</c:v>
              </c:pt>
              <c:pt idx="1">
                <c:v>1.2296089274621703E-2</c:v>
              </c:pt>
            </c:numLit>
          </c:yVal>
          <c:smooth val="0"/>
          <c:extLst>
            <c:ext xmlns:c16="http://schemas.microsoft.com/office/drawing/2014/chart" uri="{C3380CC4-5D6E-409C-BE32-E72D297353CC}">
              <c16:uniqueId val="{0000008E-FB20-47BD-89DD-BDE675514303}"/>
            </c:ext>
          </c:extLst>
        </c:ser>
        <c:ser>
          <c:idx val="143"/>
          <c:order val="143"/>
          <c:spPr>
            <a:ln w="3175">
              <a:solidFill>
                <a:srgbClr val="000000"/>
              </a:solidFill>
              <a:prstDash val="solid"/>
            </a:ln>
          </c:spPr>
          <c:marker>
            <c:symbol val="none"/>
          </c:marker>
          <c:xVal>
            <c:numLit>
              <c:formatCode>General</c:formatCode>
              <c:ptCount val="2"/>
              <c:pt idx="0">
                <c:v>-4.9840469263693068</c:v>
              </c:pt>
              <c:pt idx="1">
                <c:v>-4.5528039289082951</c:v>
              </c:pt>
            </c:numLit>
          </c:xVal>
          <c:yVal>
            <c:numLit>
              <c:formatCode>General</c:formatCode>
              <c:ptCount val="2"/>
              <c:pt idx="0">
                <c:v>1.1981861160791238E-2</c:v>
              </c:pt>
              <c:pt idx="1">
                <c:v>1.2290417672488093E-2</c:v>
              </c:pt>
            </c:numLit>
          </c:yVal>
          <c:smooth val="0"/>
          <c:extLst>
            <c:ext xmlns:c16="http://schemas.microsoft.com/office/drawing/2014/chart" uri="{C3380CC4-5D6E-409C-BE32-E72D297353CC}">
              <c16:uniqueId val="{0000008F-FB20-47BD-89DD-BDE675514303}"/>
            </c:ext>
          </c:extLst>
        </c:ser>
        <c:ser>
          <c:idx val="144"/>
          <c:order val="144"/>
          <c:spPr>
            <a:ln w="3175">
              <a:solidFill>
                <a:srgbClr val="000000"/>
              </a:solidFill>
              <a:prstDash val="solid"/>
            </a:ln>
          </c:spPr>
          <c:marker>
            <c:symbol val="none"/>
          </c:marker>
          <c:xVal>
            <c:numLit>
              <c:formatCode>General</c:formatCode>
              <c:ptCount val="2"/>
              <c:pt idx="0">
                <c:v>-4.763017052784714</c:v>
              </c:pt>
              <c:pt idx="1">
                <c:v>-4.5512064139435973</c:v>
              </c:pt>
            </c:numLit>
          </c:xVal>
          <c:yVal>
            <c:numLit>
              <c:formatCode>General</c:formatCode>
              <c:ptCount val="2"/>
              <c:pt idx="0">
                <c:v>1.1815894428391283E-2</c:v>
              </c:pt>
              <c:pt idx="1">
                <c:v>1.1973034179625917E-2</c:v>
              </c:pt>
            </c:numLit>
          </c:yVal>
          <c:smooth val="0"/>
          <c:extLst>
            <c:ext xmlns:c16="http://schemas.microsoft.com/office/drawing/2014/chart" uri="{C3380CC4-5D6E-409C-BE32-E72D297353CC}">
              <c16:uniqueId val="{00000090-FB20-47BD-89DD-BDE675514303}"/>
            </c:ext>
          </c:extLst>
        </c:ser>
        <c:ser>
          <c:idx val="145"/>
          <c:order val="145"/>
          <c:spPr>
            <a:ln w="3175">
              <a:solidFill>
                <a:srgbClr val="000000"/>
              </a:solidFill>
              <a:prstDash val="solid"/>
            </a:ln>
          </c:spPr>
          <c:marker>
            <c:symbol val="none"/>
          </c:marker>
          <c:xVal>
            <c:numLit>
              <c:formatCode>General</c:formatCode>
              <c:ptCount val="2"/>
              <c:pt idx="0">
                <c:v>-4.5294582604980791</c:v>
              </c:pt>
              <c:pt idx="1">
                <c:v>-4.1138907342740056</c:v>
              </c:pt>
            </c:numLit>
          </c:xVal>
          <c:yVal>
            <c:numLit>
              <c:formatCode>General</c:formatCode>
              <c:ptCount val="2"/>
              <c:pt idx="0">
                <c:v>1.1646870589539764E-2</c:v>
              </c:pt>
              <c:pt idx="1">
                <c:v>1.1966978500245291E-2</c:v>
              </c:pt>
            </c:numLit>
          </c:yVal>
          <c:smooth val="0"/>
          <c:extLst>
            <c:ext xmlns:c16="http://schemas.microsoft.com/office/drawing/2014/chart" uri="{C3380CC4-5D6E-409C-BE32-E72D297353CC}">
              <c16:uniqueId val="{00000091-FB20-47BD-89DD-BDE675514303}"/>
            </c:ext>
          </c:extLst>
        </c:ser>
        <c:ser>
          <c:idx val="146"/>
          <c:order val="146"/>
          <c:spPr>
            <a:ln w="3175">
              <a:solidFill>
                <a:srgbClr val="000000"/>
              </a:solidFill>
              <a:prstDash val="solid"/>
            </a:ln>
          </c:spPr>
          <c:marker>
            <c:symbol val="none"/>
          </c:marker>
          <c:xVal>
            <c:numLit>
              <c:formatCode>General</c:formatCode>
              <c:ptCount val="2"/>
              <c:pt idx="0">
                <c:v>-4.2826717679503306</c:v>
              </c:pt>
              <c:pt idx="1">
                <c:v>-4.07914294436498</c:v>
              </c:pt>
            </c:numLit>
          </c:xVal>
          <c:yVal>
            <c:numLit>
              <c:formatCode>General</c:formatCode>
              <c:ptCount val="2"/>
              <c:pt idx="0">
                <c:v>1.1474984236816857E-2</c:v>
              </c:pt>
              <c:pt idx="1">
                <c:v>1.1638001749975188E-2</c:v>
              </c:pt>
            </c:numLit>
          </c:yVal>
          <c:smooth val="0"/>
          <c:extLst>
            <c:ext xmlns:c16="http://schemas.microsoft.com/office/drawing/2014/chart" uri="{C3380CC4-5D6E-409C-BE32-E72D297353CC}">
              <c16:uniqueId val="{00000092-FB20-47BD-89DD-BDE675514303}"/>
            </c:ext>
          </c:extLst>
        </c:ser>
        <c:ser>
          <c:idx val="147"/>
          <c:order val="147"/>
          <c:spPr>
            <a:ln w="3175">
              <a:solidFill>
                <a:srgbClr val="000000"/>
              </a:solidFill>
              <a:prstDash val="solid"/>
            </a:ln>
          </c:spPr>
          <c:marker>
            <c:symbol val="none"/>
          </c:marker>
          <c:xVal>
            <c:numLit>
              <c:formatCode>General</c:formatCode>
              <c:ptCount val="2"/>
              <c:pt idx="0">
                <c:v>-4.021942353411518</c:v>
              </c:pt>
              <c:pt idx="1">
                <c:v>-3.6238753757076712</c:v>
              </c:pt>
            </c:numLit>
          </c:xVal>
          <c:yVal>
            <c:numLit>
              <c:formatCode>General</c:formatCode>
              <c:ptCount val="2"/>
              <c:pt idx="0">
                <c:v>1.1300475947320083E-2</c:v>
              </c:pt>
              <c:pt idx="1">
                <c:v>1.1632528500860769E-2</c:v>
              </c:pt>
            </c:numLit>
          </c:yVal>
          <c:smooth val="0"/>
          <c:extLst>
            <c:ext xmlns:c16="http://schemas.microsoft.com/office/drawing/2014/chart" uri="{C3380CC4-5D6E-409C-BE32-E72D297353CC}">
              <c16:uniqueId val="{00000093-FB20-47BD-89DD-BDE675514303}"/>
            </c:ext>
          </c:extLst>
        </c:ser>
        <c:ser>
          <c:idx val="148"/>
          <c:order val="148"/>
          <c:spPr>
            <a:ln w="3175">
              <a:solidFill>
                <a:srgbClr val="000000"/>
              </a:solidFill>
              <a:prstDash val="solid"/>
            </a:ln>
          </c:spPr>
          <c:marker>
            <c:symbol val="none"/>
          </c:marker>
          <c:xVal>
            <c:numLit>
              <c:formatCode>General</c:formatCode>
              <c:ptCount val="147"/>
              <c:pt idx="0">
                <c:v>19.065942353411515</c:v>
              </c:pt>
              <c:pt idx="1">
                <c:v>18.790543749866966</c:v>
              </c:pt>
              <c:pt idx="2">
                <c:v>18.499745455246352</c:v>
              </c:pt>
              <c:pt idx="3">
                <c:v>18.192821137276322</c:v>
              </c:pt>
              <c:pt idx="4">
                <c:v>17.869058802111013</c:v>
              </c:pt>
              <c:pt idx="5">
                <c:v>17.527772872567621</c:v>
              </c:pt>
              <c:pt idx="6">
                <c:v>17.168318281619168</c:v>
              </c:pt>
              <c:pt idx="7">
                <c:v>16.790106626063352</c:v>
              </c:pt>
              <c:pt idx="8">
                <c:v>16.392624340635372</c:v>
              </c:pt>
              <c:pt idx="9">
                <c:v>15.9754527418382</c:v>
              </c:pt>
              <c:pt idx="10">
                <c:v>15.538289652700842</c:v>
              </c:pt>
              <c:pt idx="11">
                <c:v>15.08097215642557</c:v>
              </c:pt>
              <c:pt idx="12">
                <c:v>14.603499843901423</c:v>
              </c:pt>
              <c:pt idx="13">
                <c:v>14.106057727229052</c:v>
              </c:pt>
              <c:pt idx="14">
                <c:v>13.589037803579986</c:v>
              </c:pt>
              <c:pt idx="15">
                <c:v>13.053058090665036</c:v>
              </c:pt>
              <c:pt idx="16">
                <c:v>12.498977840522226</c:v>
              </c:pt>
              <c:pt idx="17">
                <c:v>11.927907597824111</c:v>
              </c:pt>
              <c:pt idx="18">
                <c:v>11.341212826619152</c:v>
              </c:pt>
              <c:pt idx="19">
                <c:v>10.740510003894533</c:v>
              </c:pt>
              <c:pt idx="20">
                <c:v>10.127654377823859</c:v>
              </c:pt>
              <c:pt idx="21">
                <c:v>9.5047190068155949</c:v>
              </c:pt>
              <c:pt idx="22">
                <c:v>8.8739652091894179</c:v>
              </c:pt>
              <c:pt idx="23">
                <c:v>8.2378051220730821</c:v>
              </c:pt>
              <c:pt idx="24">
                <c:v>7.5987576377376911</c:v>
              </c:pt>
              <c:pt idx="25">
                <c:v>6.9593994946761999</c:v>
              </c:pt>
              <c:pt idx="26">
                <c:v>6.3223136896666619</c:v>
              </c:pt>
              <c:pt idx="27">
                <c:v>5.690037597761866</c:v>
              </c:pt>
              <c:pt idx="28">
                <c:v>5.0650132114445139</c:v>
              </c:pt>
              <c:pt idx="29">
                <c:v>4.4495417349447202</c:v>
              </c:pt>
              <c:pt idx="30">
                <c:v>3.8457444174013791</c:v>
              </c:pt>
              <c:pt idx="31">
                <c:v>3.255531023136959</c:v>
              </c:pt>
              <c:pt idx="32">
                <c:v>2.6805767765256308</c:v>
              </c:pt>
              <c:pt idx="33">
                <c:v>2.1223080446173976</c:v>
              </c:pt>
              <c:pt idx="34">
                <c:v>1.5818964894711631</c:v>
              </c:pt>
              <c:pt idx="35">
                <c:v>1.0602609781934789</c:v>
              </c:pt>
              <c:pt idx="36">
                <c:v>0.55807620951249115</c:v>
              </c:pt>
              <c:pt idx="37">
                <c:v>7.5786811510906382E-2</c:v>
              </c:pt>
              <c:pt idx="38">
                <c:v>-0.38637441921499299</c:v>
              </c:pt>
              <c:pt idx="39">
                <c:v>-0.82836544769946818</c:v>
              </c:pt>
              <c:pt idx="40">
                <c:v>-1.2503123116501493</c:v>
              </c:pt>
              <c:pt idx="41">
                <c:v>-1.6524858712974235</c:v>
              </c:pt>
              <c:pt idx="42">
                <c:v>-2.0352788721065513</c:v>
              </c:pt>
              <c:pt idx="43">
                <c:v>-2.3991840012325829</c:v>
              </c:pt>
              <c:pt idx="44">
                <c:v>-2.7447734321668316</c:v>
              </c:pt>
              <c:pt idx="45">
                <c:v>-3.072680183386634</c:v>
              </c:pt>
              <c:pt idx="46">
                <c:v>-3.3835814724217705</c:v>
              </c:pt>
              <c:pt idx="47">
                <c:v>-3.6781841292440793</c:v>
              </c:pt>
              <c:pt idx="48">
                <c:v>-3.9572120420841821</c:v>
              </c:pt>
              <c:pt idx="49">
                <c:v>-4.221395542588029</c:v>
              </c:pt>
              <c:pt idx="50">
                <c:v>-4.4714625924504272</c:v>
              </c:pt>
              <c:pt idx="51">
                <c:v>-4.7081316066320262</c:v>
              </c:pt>
              <c:pt idx="52">
                <c:v>-4.9321057352905999</c:v>
              </c:pt>
              <c:pt idx="53">
                <c:v>-5.1440684242141916</c:v>
              </c:pt>
              <c:pt idx="54">
                <c:v>-5.3446800788427877</c:v>
              </c:pt>
              <c:pt idx="55">
                <c:v>-5.5345756674157736</c:v>
              </c:pt>
              <c:pt idx="56">
                <c:v>-5.714363112392145</c:v>
              </c:pt>
              <c:pt idx="57">
                <c:v>-6.0459048297431641</c:v>
              </c:pt>
              <c:pt idx="58">
                <c:v>-6.3436038686490521</c:v>
              </c:pt>
              <c:pt idx="59">
                <c:v>-6.6113117622552888</c:v>
              </c:pt>
              <c:pt idx="60">
                <c:v>-6.8524545533004888</c:v>
              </c:pt>
              <c:pt idx="61">
                <c:v>-7.0700641161397257</c:v>
              </c:pt>
              <c:pt idx="62">
                <c:v>-7.2668139627913737</c:v>
              </c:pt>
              <c:pt idx="63">
                <c:v>-7.4450561220153224</c:v>
              </c:pt>
              <c:pt idx="64">
                <c:v>-7.6068569785848918</c:v>
              </c:pt>
              <c:pt idx="65">
                <c:v>-7.7540308580023209</c:v>
              </c:pt>
              <c:pt idx="66">
                <c:v>-7.8881707432153219</c:v>
              </c:pt>
              <c:pt idx="67">
                <c:v>-8.0106758986490121</c:v>
              </c:pt>
              <c:pt idx="68">
                <c:v>-8.1227764177225303</c:v>
              </c:pt>
              <c:pt idx="69">
                <c:v>-8.2255548505858034</c:v>
              </c:pt>
              <c:pt idx="70">
                <c:v>-8.3199651431045574</c:v>
              </c:pt>
              <c:pt idx="71">
                <c:v>-8.4068491498525173</c:v>
              </c:pt>
              <c:pt idx="72">
                <c:v>-8.486950989224928</c:v>
              </c:pt>
              <c:pt idx="73">
                <c:v>-8.5609294985956481</c:v>
              </c:pt>
              <c:pt idx="74">
                <c:v>-8.6293690287967184</c:v>
              </c:pt>
              <c:pt idx="75">
                <c:v>-8.6927887946424995</c:v>
              </c:pt>
              <c:pt idx="76">
                <c:v>-8.7516509745654023</c:v>
              </c:pt>
              <c:pt idx="77">
                <c:v>-8.8573072883626267</c:v>
              </c:pt>
              <c:pt idx="78">
                <c:v>-8.9491390821074628</c:v>
              </c:pt>
              <c:pt idx="79">
                <c:v>-9.0293977395002667</c:v>
              </c:pt>
              <c:pt idx="80">
                <c:v>-9.0999057043833709</c:v>
              </c:pt>
              <c:pt idx="81">
                <c:v>-9.1621483944066782</c:v>
              </c:pt>
              <c:pt idx="82">
                <c:v>-9.2890805085034174</c:v>
              </c:pt>
              <c:pt idx="83">
                <c:v>-9.3854262264463078</c:v>
              </c:pt>
              <c:pt idx="84">
                <c:v>-9.4601719381821585</c:v>
              </c:pt>
              <c:pt idx="85">
                <c:v>-9.5192631793601503</c:v>
              </c:pt>
              <c:pt idx="86">
                <c:v>-9.5667494735594438</c:v>
              </c:pt>
              <c:pt idx="87">
                <c:v>-9.6054604899925025</c:v>
              </c:pt>
              <c:pt idx="88">
                <c:v>-9.6640995467395676</c:v>
              </c:pt>
              <c:pt idx="89">
                <c:v>-9.7057408037734945</c:v>
              </c:pt>
              <c:pt idx="90">
                <c:v>-9.7363488755763594</c:v>
              </c:pt>
              <c:pt idx="91">
                <c:v>-9.7594920592975569</c:v>
              </c:pt>
              <c:pt idx="92">
                <c:v>-9.7774082431157812</c:v>
              </c:pt>
              <c:pt idx="93">
                <c:v>-9.826239533393677</c:v>
              </c:pt>
              <c:pt idx="94">
                <c:v>-9.8465584490956477</c:v>
              </c:pt>
              <c:pt idx="95">
                <c:v>-9.862870431265371</c:v>
              </c:pt>
              <c:pt idx="96">
                <c:v>-9.8691357952931487</c:v>
              </c:pt>
              <c:pt idx="97">
                <c:v>-9.8780000000000001</c:v>
              </c:pt>
              <c:pt idx="98">
                <c:v>-9.8665090567206697</c:v>
              </c:pt>
              <c:pt idx="99">
                <c:v>-9.8566117153194046</c:v>
              </c:pt>
              <c:pt idx="100">
                <c:v>-9.825120498007605</c:v>
              </c:pt>
              <c:pt idx="101">
                <c:v>-9.7743638069967425</c:v>
              </c:pt>
              <c:pt idx="102">
                <c:v>-9.7555947041230944</c:v>
              </c:pt>
              <c:pt idx="103">
                <c:v>-9.7312495160578543</c:v>
              </c:pt>
              <c:pt idx="104">
                <c:v>-9.6988930377242379</c:v>
              </c:pt>
              <c:pt idx="105">
                <c:v>-9.6546103310984979</c:v>
              </c:pt>
              <c:pt idx="106">
                <c:v>-9.5917920119000488</c:v>
              </c:pt>
              <c:pt idx="107">
                <c:v>-9.5500552853147749</c:v>
              </c:pt>
              <c:pt idx="108">
                <c:v>-9.4985920174877663</c:v>
              </c:pt>
              <c:pt idx="109">
                <c:v>-9.4341733564072943</c:v>
              </c:pt>
              <c:pt idx="110">
                <c:v>-9.3521355422659074</c:v>
              </c:pt>
              <c:pt idx="111">
                <c:v>-9.2455590364770597</c:v>
              </c:pt>
              <c:pt idx="112">
                <c:v>-9.1038600359190358</c:v>
              </c:pt>
              <c:pt idx="113">
                <c:v>-9.033886916005148</c:v>
              </c:pt>
              <c:pt idx="114">
                <c:v>-8.954260939861248</c:v>
              </c:pt>
              <c:pt idx="115">
                <c:v>-8.8631822315685405</c:v>
              </c:pt>
              <c:pt idx="116">
                <c:v>-8.7584282202067296</c:v>
              </c:pt>
              <c:pt idx="117">
                <c:v>-8.6372348348493126</c:v>
              </c:pt>
              <c:pt idx="118">
                <c:v>-8.5694238961193641</c:v>
              </c:pt>
              <c:pt idx="119">
                <c:v>-8.496139552640436</c:v>
              </c:pt>
              <c:pt idx="120">
                <c:v>-8.4168057372568565</c:v>
              </c:pt>
              <c:pt idx="121">
                <c:v>-8.3307730905498314</c:v>
              </c:pt>
              <c:pt idx="122">
                <c:v>-8.2373083506110412</c:v>
              </c:pt>
              <c:pt idx="123">
                <c:v>-8.135582109378646</c:v>
              </c:pt>
              <c:pt idx="124">
                <c:v>-8.0246546988258096</c:v>
              </c:pt>
              <c:pt idx="125">
                <c:v>-7.9034599509797507</c:v>
              </c:pt>
              <c:pt idx="126">
                <c:v>-7.7707865642283949</c:v>
              </c:pt>
              <c:pt idx="127">
                <c:v>-7.6252568113761559</c:v>
              </c:pt>
              <c:pt idx="128">
                <c:v>-7.4653023527450681</c:v>
              </c:pt>
              <c:pt idx="129">
                <c:v>-7.2891369857220321</c:v>
              </c:pt>
              <c:pt idx="130">
                <c:v>-7.0947262932026645</c:v>
              </c:pt>
              <c:pt idx="131">
                <c:v>-6.8797543799888556</c:v>
              </c:pt>
              <c:pt idx="132">
                <c:v>-6.6415882541581794</c:v>
              </c:pt>
              <c:pt idx="133">
                <c:v>-6.5128887746212865</c:v>
              </c:pt>
              <c:pt idx="134">
                <c:v>-6.377240982176394</c:v>
              </c:pt>
              <c:pt idx="135">
                <c:v>-6.2342102755987439</c:v>
              </c:pt>
              <c:pt idx="136">
                <c:v>-6.0833356038875808</c:v>
              </c:pt>
              <c:pt idx="137">
                <c:v>-5.9241286231448873</c:v>
              </c:pt>
              <c:pt idx="138">
                <c:v>-5.7560730377038629</c:v>
              </c:pt>
              <c:pt idx="139">
                <c:v>-5.578624186981501</c:v>
              </c:pt>
              <c:pt idx="140">
                <c:v>-5.3912089513591752</c:v>
              </c:pt>
              <c:pt idx="141">
                <c:v>-5.1932260635615615</c:v>
              </c:pt>
              <c:pt idx="142">
                <c:v>-4.9840469263693068</c:v>
              </c:pt>
              <c:pt idx="143">
                <c:v>-4.763017052784714</c:v>
              </c:pt>
              <c:pt idx="144">
                <c:v>-4.5294582604980791</c:v>
              </c:pt>
              <c:pt idx="145">
                <c:v>-4.2826717679503306</c:v>
              </c:pt>
              <c:pt idx="146">
                <c:v>-4.021942353411518</c:v>
              </c:pt>
            </c:numLit>
          </c:xVal>
          <c:yVal>
            <c:numLit>
              <c:formatCode>General</c:formatCode>
              <c:ptCount val="147"/>
              <c:pt idx="0">
                <c:v>3.0559524052679921E-2</c:v>
              </c:pt>
              <c:pt idx="1">
                <c:v>3.0736362467444784E-2</c:v>
              </c:pt>
              <c:pt idx="2">
                <c:v>3.0915182575025162E-2</c:v>
              </c:pt>
              <c:pt idx="3">
                <c:v>3.1095573924337105E-2</c:v>
              </c:pt>
              <c:pt idx="4">
                <c:v>3.1277058802111013E-2</c:v>
              </c:pt>
              <c:pt idx="5">
                <c:v>3.145908735335045E-2</c:v>
              </c:pt>
              <c:pt idx="6">
                <c:v>3.1641033323740492E-2</c:v>
              </c:pt>
              <c:pt idx="7">
                <c:v>3.1822190731097821E-2</c:v>
              </c:pt>
              <c:pt idx="8">
                <c:v>3.2001771819701222E-2</c:v>
              </c:pt>
              <c:pt idx="9">
                <c:v>3.2178906690858773E-2</c:v>
              </c:pt>
              <c:pt idx="10">
                <c:v>3.2352645029202619E-2</c:v>
              </c:pt>
              <c:pt idx="11">
                <c:v>3.2521960349640437E-2</c:v>
              </c:pt>
              <c:pt idx="12">
                <c:v>3.2685757166608632E-2</c:v>
              </c:pt>
              <c:pt idx="13">
                <c:v>3.2842881427324513E-2</c:v>
              </c:pt>
              <c:pt idx="14">
                <c:v>3.2992134447433728E-2</c:v>
              </c:pt>
              <c:pt idx="15">
                <c:v>3.3132290436861909E-2</c:v>
              </c:pt>
              <c:pt idx="16">
                <c:v>3.3262117506318627E-2</c:v>
              </c:pt>
              <c:pt idx="17">
                <c:v>3.3380401807334426E-2</c:v>
              </c:pt>
              <c:pt idx="18">
                <c:v>3.348597419470218E-2</c:v>
              </c:pt>
              <c:pt idx="19">
                <c:v>3.3577738530929296E-2</c:v>
              </c:pt>
              <c:pt idx="20">
                <c:v>3.3654700505295149E-2</c:v>
              </c:pt>
              <c:pt idx="21">
                <c:v>3.3715995646515944E-2</c:v>
              </c:pt>
              <c:pt idx="22">
                <c:v>3.3760915098533552E-2</c:v>
              </c:pt>
              <c:pt idx="23">
                <c:v>3.378892772867001E-2</c:v>
              </c:pt>
              <c:pt idx="24">
                <c:v>3.3799697260686282E-2</c:v>
              </c:pt>
              <c:pt idx="25">
                <c:v>3.3793093371721462E-2</c:v>
              </c:pt>
              <c:pt idx="26">
                <c:v>3.3769196044631293E-2</c:v>
              </c:pt>
              <c:pt idx="27">
                <c:v>3.3728292893413635E-2</c:v>
              </c:pt>
              <c:pt idx="28">
                <c:v>3.3670869635499083E-2</c:v>
              </c:pt>
              <c:pt idx="29">
                <c:v>3.3597594322318097E-2</c:v>
              </c:pt>
              <c:pt idx="30">
                <c:v>3.3509296313245625E-2</c:v>
              </c:pt>
              <c:pt idx="31">
                <c:v>3.3406941252105297E-2</c:v>
              </c:pt>
              <c:pt idx="32">
                <c:v>3.3291603458921876E-2</c:v>
              </c:pt>
              <c:pt idx="33">
                <c:v>3.3164437178186706E-2</c:v>
              </c:pt>
              <c:pt idx="34">
                <c:v>3.3026648039659948E-2</c:v>
              </c:pt>
              <c:pt idx="35">
                <c:v>3.2879465911649565E-2</c:v>
              </c:pt>
              <c:pt idx="36">
                <c:v>3.2724120089613527E-2</c:v>
              </c:pt>
              <c:pt idx="37">
                <c:v>3.2561817496304393E-2</c:v>
              </c:pt>
              <c:pt idx="38">
                <c:v>3.2393724302205024E-2</c:v>
              </c:pt>
              <c:pt idx="39">
                <c:v>3.2220951129550625E-2</c:v>
              </c:pt>
              <c:pt idx="40">
                <c:v>3.2044541795365311E-2</c:v>
              </c:pt>
              <c:pt idx="41">
                <c:v>3.1865465386878213E-2</c:v>
              </c:pt>
              <c:pt idx="42">
                <c:v>3.1684611348254135E-2</c:v>
              </c:pt>
              <c:pt idx="43">
                <c:v>3.1502787187754219E-2</c:v>
              </c:pt>
              <c:pt idx="44">
                <c:v>3.1320718383058194E-2</c:v>
              </c:pt>
              <c:pt idx="45">
                <c:v>3.1139050061769116E-2</c:v>
              </c:pt>
              <c:pt idx="46">
                <c:v>3.0958350055992959E-2</c:v>
              </c:pt>
              <c:pt idx="47">
                <c:v>3.0779112966800307E-2</c:v>
              </c:pt>
              <c:pt idx="48">
                <c:v>3.0601764919879974E-2</c:v>
              </c:pt>
              <c:pt idx="49">
                <c:v>3.0426668742639516E-2</c:v>
              </c:pt>
              <c:pt idx="50">
                <c:v>3.0254129341580477E-2</c:v>
              </c:pt>
              <c:pt idx="51">
                <c:v>3.0084399104368914E-2</c:v>
              </c:pt>
              <c:pt idx="52">
                <c:v>2.9917683192038989E-2</c:v>
              </c:pt>
              <c:pt idx="53">
                <c:v>2.9754144622409617E-2</c:v>
              </c:pt>
              <c:pt idx="54">
                <c:v>2.9593909075847288E-2</c:v>
              </c:pt>
              <c:pt idx="55">
                <c:v>2.9437069379158205E-2</c:v>
              </c:pt>
              <c:pt idx="56">
                <c:v>2.9283689643078106E-2</c:v>
              </c:pt>
              <c:pt idx="57">
                <c:v>2.8987445253082427E-2</c:v>
              </c:pt>
              <c:pt idx="58">
                <c:v>2.8705249438049581E-2</c:v>
              </c:pt>
              <c:pt idx="59">
                <c:v>2.843692272060656E-2</c:v>
              </c:pt>
              <c:pt idx="60">
                <c:v>2.8182106961193734E-2</c:v>
              </c:pt>
              <c:pt idx="61">
                <c:v>2.7940323066302088E-2</c:v>
              </c:pt>
              <c:pt idx="62">
                <c:v>2.771101497108848E-2</c:v>
              </c:pt>
              <c:pt idx="63">
                <c:v>2.7493582588817535E-2</c:v>
              </c:pt>
              <c:pt idx="64">
                <c:v>2.7287406065353549E-2</c:v>
              </c:pt>
              <c:pt idx="65">
                <c:v>2.7091863289154108E-2</c:v>
              </c:pt>
              <c:pt idx="66">
                <c:v>2.690634223888767E-2</c:v>
              </c:pt>
              <c:pt idx="67">
                <c:v>2.673024942614733E-2</c:v>
              </c:pt>
              <c:pt idx="68">
                <c:v>2.6563015417404752E-2</c:v>
              </c:pt>
              <c:pt idx="69">
                <c:v>2.640409819616079E-2</c:v>
              </c:pt>
              <c:pt idx="70">
                <c:v>2.6252984947883497E-2</c:v>
              </c:pt>
              <c:pt idx="71">
                <c:v>2.610919271000376E-2</c:v>
              </c:pt>
              <c:pt idx="72">
                <c:v>2.597226822015037E-2</c:v>
              </c:pt>
              <c:pt idx="73">
                <c:v>2.5841787211775113E-2</c:v>
              </c:pt>
              <c:pt idx="74">
                <c:v>2.5717353342065267E-2</c:v>
              </c:pt>
              <c:pt idx="75">
                <c:v>2.5598596888211325E-2</c:v>
              </c:pt>
              <c:pt idx="76">
                <c:v>2.5485173311188873E-2</c:v>
              </c:pt>
              <c:pt idx="77">
                <c:v>2.5273063556165737E-2</c:v>
              </c:pt>
              <c:pt idx="78">
                <c:v>2.5078714550976496E-2</c:v>
              </c:pt>
              <c:pt idx="79">
                <c:v>2.4900125447290717E-2</c:v>
              </c:pt>
              <c:pt idx="80">
                <c:v>2.4735561478973527E-2</c:v>
              </c:pt>
              <c:pt idx="81">
                <c:v>2.4583516169954973E-2</c:v>
              </c:pt>
              <c:pt idx="82">
                <c:v>2.4249973889194042E-2</c:v>
              </c:pt>
              <c:pt idx="83">
                <c:v>2.3970556092921879E-2</c:v>
              </c:pt>
              <c:pt idx="84">
                <c:v>2.3733423854580125E-2</c:v>
              </c:pt>
              <c:pt idx="85">
                <c:v>2.3529865143833231E-2</c:v>
              </c:pt>
              <c:pt idx="86">
                <c:v>2.3353355225599216E-2</c:v>
              </c:pt>
              <c:pt idx="87">
                <c:v>2.3198926159195745E-2</c:v>
              </c:pt>
              <c:pt idx="88">
                <c:v>2.294177753595765E-2</c:v>
              </c:pt>
              <c:pt idx="89">
                <c:v>2.2736452704669185E-2</c:v>
              </c:pt>
              <c:pt idx="90">
                <c:v>2.2568842643838953E-2</c:v>
              </c:pt>
              <c:pt idx="91">
                <c:v>2.2429498103471914E-2</c:v>
              </c:pt>
              <c:pt idx="92">
                <c:v>2.2311864752467405E-2</c:v>
              </c:pt>
              <c:pt idx="93">
                <c:v>2.19219477646126E-2</c:v>
              </c:pt>
              <c:pt idx="94">
                <c:v>2.1703336717703383E-2</c:v>
              </c:pt>
              <c:pt idx="95">
                <c:v>2.1466576659932901E-2</c:v>
              </c:pt>
              <c:pt idx="96">
                <c:v>2.1340749932151591E-2</c:v>
              </c:pt>
              <c:pt idx="97">
                <c:v>2.0930000000000001E-2</c:v>
              </c:pt>
              <c:pt idx="98">
                <c:v>2.0462352026117177E-2</c:v>
              </c:pt>
              <c:pt idx="99">
                <c:v>2.0292078253462336E-2</c:v>
              </c:pt>
              <c:pt idx="100">
                <c:v>1.9927403009249937E-2</c:v>
              </c:pt>
              <c:pt idx="101">
                <c:v>1.9527441400141971E-2</c:v>
              </c:pt>
              <c:pt idx="102">
                <c:v>1.9406130083083659E-2</c:v>
              </c:pt>
              <c:pt idx="103">
                <c:v>1.9262042185935597E-2</c:v>
              </c:pt>
              <c:pt idx="104">
                <c:v>1.9088173676807301E-2</c:v>
              </c:pt>
              <c:pt idx="105">
                <c:v>1.8874364740294421E-2</c:v>
              </c:pt>
              <c:pt idx="106">
                <c:v>1.8605334220365727E-2</c:v>
              </c:pt>
              <c:pt idx="107">
                <c:v>1.8443106339845548E-2</c:v>
              </c:pt>
              <c:pt idx="108">
                <c:v>1.8257081553294929E-2</c:v>
              </c:pt>
              <c:pt idx="109">
                <c:v>1.8041765933534418E-2</c:v>
              </c:pt>
              <c:pt idx="110">
                <c:v>1.7789900045223919E-2</c:v>
              </c:pt>
              <c:pt idx="111">
                <c:v>1.7491727600755014E-2</c:v>
              </c:pt>
              <c:pt idx="112">
                <c:v>1.7133900318625845E-2</c:v>
              </c:pt>
              <c:pt idx="113">
                <c:v>1.6970127856038714E-2</c:v>
              </c:pt>
              <c:pt idx="114">
                <c:v>1.6792426733524612E-2</c:v>
              </c:pt>
              <c:pt idx="115">
                <c:v>1.6599076898329495E-2</c:v>
              </c:pt>
              <c:pt idx="116">
                <c:v>1.6388094622981707E-2</c:v>
              </c:pt>
              <c:pt idx="117">
                <c:v>1.6157190180898885E-2</c:v>
              </c:pt>
              <c:pt idx="118">
                <c:v>1.6033456612372633E-2</c:v>
              </c:pt>
              <c:pt idx="119">
                <c:v>1.590372165004483E-2</c:v>
              </c:pt>
              <c:pt idx="120">
                <c:v>1.5767592217746176E-2</c:v>
              </c:pt>
              <c:pt idx="121">
                <c:v>1.5624647462044871E-2</c:v>
              </c:pt>
              <c:pt idx="122">
                <c:v>1.5474437646003199E-2</c:v>
              </c:pt>
              <c:pt idx="123">
                <c:v>1.5316483392004664E-2</c:v>
              </c:pt>
              <c:pt idx="124">
                <c:v>1.5150275451951677E-2</c:v>
              </c:pt>
              <c:pt idx="125">
                <c:v>1.4975275245324009E-2</c:v>
              </c:pt>
              <c:pt idx="126">
                <c:v>1.4790916486985731E-2</c:v>
              </c:pt>
              <c:pt idx="127">
                <c:v>1.4596608332400495E-2</c:v>
              </c:pt>
              <c:pt idx="128">
                <c:v>1.4391740604136366E-2</c:v>
              </c:pt>
              <c:pt idx="129">
                <c:v>1.4175691836973547E-2</c:v>
              </c:pt>
              <c:pt idx="130">
                <c:v>1.3947841096409371E-2</c:v>
              </c:pt>
              <c:pt idx="131">
                <c:v>1.3707584792488141E-2</c:v>
              </c:pt>
              <c:pt idx="132">
                <c:v>1.3454360029547155E-2</c:v>
              </c:pt>
              <c:pt idx="133">
                <c:v>1.3322727312893847E-2</c:v>
              </c:pt>
              <c:pt idx="134">
                <c:v>1.3187676396417802E-2</c:v>
              </c:pt>
              <c:pt idx="135">
                <c:v>1.304916427263535E-2</c:v>
              </c:pt>
              <c:pt idx="136">
                <c:v>1.2907158489149532E-2</c:v>
              </c:pt>
              <c:pt idx="137">
                <c:v>1.2761639254297252E-2</c:v>
              </c:pt>
              <c:pt idx="138">
                <c:v>1.2612601820716014E-2</c:v>
              </c:pt>
              <c:pt idx="139">
                <c:v>1.2460059169599368E-2</c:v>
              </c:pt>
              <c:pt idx="140">
                <c:v>1.2304045016555564E-2</c:v>
              </c:pt>
              <c:pt idx="141">
                <c:v>1.214461715663261E-2</c:v>
              </c:pt>
              <c:pt idx="142">
                <c:v>1.1981861160791238E-2</c:v>
              </c:pt>
              <c:pt idx="143">
                <c:v>1.1815894428391283E-2</c:v>
              </c:pt>
              <c:pt idx="144">
                <c:v>1.1646870589539764E-2</c:v>
              </c:pt>
              <c:pt idx="145">
                <c:v>1.1474984236816857E-2</c:v>
              </c:pt>
              <c:pt idx="146">
                <c:v>1.1300475947320083E-2</c:v>
              </c:pt>
            </c:numLit>
          </c:yVal>
          <c:smooth val="1"/>
          <c:extLst>
            <c:ext xmlns:c16="http://schemas.microsoft.com/office/drawing/2014/chart" uri="{C3380CC4-5D6E-409C-BE32-E72D297353CC}">
              <c16:uniqueId val="{00000094-FB20-47BD-89DD-BDE675514303}"/>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2155-4DFF-8C0A-E03BB7E43D67}"/>
            </c:ext>
          </c:extLst>
        </c:ser>
        <c:ser>
          <c:idx val="1"/>
          <c:order val="1"/>
          <c:spPr>
            <a:ln w="3175">
              <a:solidFill>
                <a:srgbClr val="000000"/>
              </a:solidFill>
              <a:prstDash val="solid"/>
            </a:ln>
          </c:spPr>
          <c:marker>
            <c:symbol val="none"/>
          </c:marker>
          <c:xVal>
            <c:numLit>
              <c:formatCode>General</c:formatCode>
              <c:ptCount val="2"/>
              <c:pt idx="0">
                <c:v>16.810229479756391</c:v>
              </c:pt>
              <c:pt idx="1">
                <c:v>17.208296457460236</c:v>
              </c:pt>
            </c:numLit>
          </c:xVal>
          <c:yVal>
            <c:numLit>
              <c:formatCode>General</c:formatCode>
              <c:ptCount val="2"/>
              <c:pt idx="0">
                <c:v>2.8677892915949361E-2</c:v>
              </c:pt>
              <c:pt idx="1">
                <c:v>2.900994546949005E-2</c:v>
              </c:pt>
            </c:numLit>
          </c:yVal>
          <c:smooth val="0"/>
          <c:extLst>
            <c:ext xmlns:c16="http://schemas.microsoft.com/office/drawing/2014/chart" uri="{C3380CC4-5D6E-409C-BE32-E72D297353CC}">
              <c16:uniqueId val="{00000001-2155-4DFF-8C0A-E03BB7E43D67}"/>
            </c:ext>
          </c:extLst>
        </c:ser>
        <c:ser>
          <c:idx val="2"/>
          <c:order val="2"/>
          <c:spPr>
            <a:ln w="3175">
              <a:solidFill>
                <a:srgbClr val="000000"/>
              </a:solidFill>
              <a:prstDash val="solid"/>
            </a:ln>
          </c:spPr>
          <c:marker>
            <c:symbol val="none"/>
          </c:marker>
          <c:dLbls>
            <c:dLbl>
              <c:idx val="0"/>
              <c:tx>
                <c:rich>
                  <a:bodyPr rot="-28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17.938085916583955</c:v>
              </c:pt>
            </c:numLit>
          </c:xVal>
          <c:yVal>
            <c:numLit>
              <c:formatCode>General</c:formatCode>
              <c:ptCount val="1"/>
              <c:pt idx="0">
                <c:v>2.9618708484314641E-2</c:v>
              </c:pt>
            </c:numLit>
          </c:yVal>
          <c:smooth val="0"/>
          <c:extLst>
            <c:ext xmlns:c16="http://schemas.microsoft.com/office/drawing/2014/chart" uri="{C3380CC4-5D6E-409C-BE32-E72D297353CC}">
              <c16:uniqueId val="{00000003-2155-4DFF-8C0A-E03BB7E43D67}"/>
            </c:ext>
          </c:extLst>
        </c:ser>
        <c:ser>
          <c:idx val="3"/>
          <c:order val="3"/>
          <c:spPr>
            <a:ln w="3175">
              <a:solidFill>
                <a:srgbClr val="000000"/>
              </a:solidFill>
              <a:prstDash val="solid"/>
            </a:ln>
          </c:spPr>
          <c:marker>
            <c:symbol val="none"/>
          </c:marker>
          <c:xVal>
            <c:numLit>
              <c:formatCode>General</c:formatCode>
              <c:ptCount val="2"/>
              <c:pt idx="0">
                <c:v>16.588644396444685</c:v>
              </c:pt>
              <c:pt idx="1">
                <c:v>16.782929633511358</c:v>
              </c:pt>
            </c:numLit>
          </c:xVal>
          <c:yVal>
            <c:numLit>
              <c:formatCode>General</c:formatCode>
              <c:ptCount val="2"/>
              <c:pt idx="0">
                <c:v>2.882017669794408E-2</c:v>
              </c:pt>
              <c:pt idx="1">
                <c:v>2.8989251912900024E-2</c:v>
              </c:pt>
            </c:numLit>
          </c:yVal>
          <c:smooth val="0"/>
          <c:extLst>
            <c:ext xmlns:c16="http://schemas.microsoft.com/office/drawing/2014/chart" uri="{C3380CC4-5D6E-409C-BE32-E72D297353CC}">
              <c16:uniqueId val="{00000004-2155-4DFF-8C0A-E03BB7E43D67}"/>
            </c:ext>
          </c:extLst>
        </c:ser>
        <c:ser>
          <c:idx val="4"/>
          <c:order val="4"/>
          <c:spPr>
            <a:ln w="3175">
              <a:solidFill>
                <a:srgbClr val="000000"/>
              </a:solidFill>
              <a:prstDash val="solid"/>
            </a:ln>
          </c:spPr>
          <c:marker>
            <c:symbol val="none"/>
          </c:marker>
          <c:xVal>
            <c:numLit>
              <c:formatCode>General</c:formatCode>
              <c:ptCount val="2"/>
              <c:pt idx="0">
                <c:v>16.354668757094764</c:v>
              </c:pt>
              <c:pt idx="1">
                <c:v>16.733211703827397</c:v>
              </c:pt>
            </c:numLit>
          </c:xVal>
          <c:yVal>
            <c:numLit>
              <c:formatCode>General</c:formatCode>
              <c:ptCount val="2"/>
              <c:pt idx="0">
                <c:v>2.8964054945422545E-2</c:v>
              </c:pt>
              <c:pt idx="1">
                <c:v>2.9308371585940653E-2</c:v>
              </c:pt>
            </c:numLit>
          </c:yVal>
          <c:smooth val="0"/>
          <c:extLst>
            <c:ext xmlns:c16="http://schemas.microsoft.com/office/drawing/2014/chart" uri="{C3380CC4-5D6E-409C-BE32-E72D297353CC}">
              <c16:uniqueId val="{00000005-2155-4DFF-8C0A-E03BB7E43D67}"/>
            </c:ext>
          </c:extLst>
        </c:ser>
        <c:ser>
          <c:idx val="5"/>
          <c:order val="5"/>
          <c:spPr>
            <a:ln w="3175">
              <a:solidFill>
                <a:srgbClr val="000000"/>
              </a:solidFill>
              <a:prstDash val="solid"/>
            </a:ln>
          </c:spPr>
          <c:marker>
            <c:symbol val="none"/>
          </c:marker>
          <c:xVal>
            <c:numLit>
              <c:formatCode>General</c:formatCode>
              <c:ptCount val="2"/>
              <c:pt idx="0">
                <c:v>16.107718156429225</c:v>
              </c:pt>
              <c:pt idx="1">
                <c:v>16.291697831209852</c:v>
              </c:pt>
            </c:numLit>
          </c:xVal>
          <c:yVal>
            <c:numLit>
              <c:formatCode>General</c:formatCode>
              <c:ptCount val="2"/>
              <c:pt idx="0">
                <c:v>2.9109197410386176E-2</c:v>
              </c:pt>
              <c:pt idx="1">
                <c:v>2.9284465926323024E-2</c:v>
              </c:pt>
            </c:numLit>
          </c:yVal>
          <c:smooth val="0"/>
          <c:extLst>
            <c:ext xmlns:c16="http://schemas.microsoft.com/office/drawing/2014/chart" uri="{C3380CC4-5D6E-409C-BE32-E72D297353CC}">
              <c16:uniqueId val="{00000006-2155-4DFF-8C0A-E03BB7E43D67}"/>
            </c:ext>
          </c:extLst>
        </c:ser>
        <c:ser>
          <c:idx val="6"/>
          <c:order val="6"/>
          <c:spPr>
            <a:ln w="3175">
              <a:solidFill>
                <a:srgbClr val="000000"/>
              </a:solidFill>
              <a:prstDash val="solid"/>
            </a:ln>
          </c:spPr>
          <c:marker>
            <c:symbol val="none"/>
          </c:marker>
          <c:xVal>
            <c:numLit>
              <c:formatCode>General</c:formatCode>
              <c:ptCount val="2"/>
              <c:pt idx="0">
                <c:v>15.847219725836448</c:v>
              </c:pt>
              <c:pt idx="1">
                <c:v>16.204014856943722</c:v>
              </c:pt>
            </c:numLit>
          </c:xVal>
          <c:yVal>
            <c:numLit>
              <c:formatCode>General</c:formatCode>
              <c:ptCount val="2"/>
              <c:pt idx="0">
                <c:v>2.9255219725836449E-2</c:v>
              </c:pt>
              <c:pt idx="1">
                <c:v>2.9612014856943723E-2</c:v>
              </c:pt>
            </c:numLit>
          </c:yVal>
          <c:smooth val="0"/>
          <c:extLst>
            <c:ext xmlns:c16="http://schemas.microsoft.com/office/drawing/2014/chart" uri="{C3380CC4-5D6E-409C-BE32-E72D297353CC}">
              <c16:uniqueId val="{00000007-2155-4DFF-8C0A-E03BB7E43D67}"/>
            </c:ext>
          </c:extLst>
        </c:ser>
        <c:ser>
          <c:idx val="7"/>
          <c:order val="7"/>
          <c:spPr>
            <a:ln w="3175">
              <a:solidFill>
                <a:srgbClr val="000000"/>
              </a:solidFill>
              <a:prstDash val="solid"/>
            </a:ln>
          </c:spPr>
          <c:marker>
            <c:symbol val="none"/>
          </c:marker>
          <c:dLbls>
            <c:dLbl>
              <c:idx val="0"/>
              <c:tx>
                <c:rich>
                  <a:bodyPr rot="-32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16.85813926397373</c:v>
              </c:pt>
            </c:numLit>
          </c:xVal>
          <c:yVal>
            <c:numLit>
              <c:formatCode>General</c:formatCode>
              <c:ptCount val="1"/>
              <c:pt idx="0">
                <c:v>3.0266139263973729E-2</c:v>
              </c:pt>
            </c:numLit>
          </c:yVal>
          <c:smooth val="0"/>
          <c:extLst>
            <c:ext xmlns:c16="http://schemas.microsoft.com/office/drawing/2014/chart" uri="{C3380CC4-5D6E-409C-BE32-E72D297353CC}">
              <c16:uniqueId val="{00000009-2155-4DFF-8C0A-E03BB7E43D67}"/>
            </c:ext>
          </c:extLst>
        </c:ser>
        <c:ser>
          <c:idx val="8"/>
          <c:order val="8"/>
          <c:spPr>
            <a:ln w="3175">
              <a:solidFill>
                <a:srgbClr val="000000"/>
              </a:solidFill>
              <a:prstDash val="solid"/>
            </a:ln>
          </c:spPr>
          <c:marker>
            <c:symbol val="none"/>
          </c:marker>
          <c:xVal>
            <c:numLit>
              <c:formatCode>General</c:formatCode>
              <c:ptCount val="2"/>
              <c:pt idx="0">
                <c:v>15.572621851491188</c:v>
              </c:pt>
              <c:pt idx="1">
                <c:v>15.745135176880286</c:v>
              </c:pt>
            </c:numLit>
          </c:xVal>
          <c:yVal>
            <c:numLit>
              <c:formatCode>General</c:formatCode>
              <c:ptCount val="2"/>
              <c:pt idx="0">
                <c:v>2.9401679479707257E-2</c:v>
              </c:pt>
              <c:pt idx="1">
                <c:v>2.9583215468558126E-2</c:v>
              </c:pt>
            </c:numLit>
          </c:yVal>
          <c:smooth val="0"/>
          <c:extLst>
            <c:ext xmlns:c16="http://schemas.microsoft.com/office/drawing/2014/chart" uri="{C3380CC4-5D6E-409C-BE32-E72D297353CC}">
              <c16:uniqueId val="{0000000A-2155-4DFF-8C0A-E03BB7E43D67}"/>
            </c:ext>
          </c:extLst>
        </c:ser>
        <c:ser>
          <c:idx val="9"/>
          <c:order val="9"/>
          <c:spPr>
            <a:ln w="3175">
              <a:solidFill>
                <a:srgbClr val="000000"/>
              </a:solidFill>
              <a:prstDash val="solid"/>
            </a:ln>
          </c:spPr>
          <c:marker>
            <c:symbol val="none"/>
          </c:marker>
          <c:xVal>
            <c:numLit>
              <c:formatCode>General</c:formatCode>
              <c:ptCount val="2"/>
              <c:pt idx="0">
                <c:v>15.283405513946459</c:v>
              </c:pt>
              <c:pt idx="1">
                <c:v>15.616037178829878</c:v>
              </c:pt>
            </c:numLit>
          </c:xVal>
          <c:yVal>
            <c:numLit>
              <c:formatCode>General</c:formatCode>
              <c:ptCount val="2"/>
              <c:pt idx="0">
                <c:v>2.9548072789216489E-2</c:v>
              </c:pt>
              <c:pt idx="1">
                <c:v>2.9917418765897194E-2</c:v>
              </c:pt>
            </c:numLit>
          </c:yVal>
          <c:smooth val="0"/>
          <c:extLst>
            <c:ext xmlns:c16="http://schemas.microsoft.com/office/drawing/2014/chart" uri="{C3380CC4-5D6E-409C-BE32-E72D297353CC}">
              <c16:uniqueId val="{0000000B-2155-4DFF-8C0A-E03BB7E43D67}"/>
            </c:ext>
          </c:extLst>
        </c:ser>
        <c:ser>
          <c:idx val="10"/>
          <c:order val="10"/>
          <c:spPr>
            <a:ln w="3175">
              <a:solidFill>
                <a:srgbClr val="000000"/>
              </a:solidFill>
              <a:prstDash val="solid"/>
            </a:ln>
          </c:spPr>
          <c:marker>
            <c:symbol val="none"/>
          </c:marker>
          <c:xVal>
            <c:numLit>
              <c:formatCode>General</c:formatCode>
              <c:ptCount val="2"/>
              <c:pt idx="0">
                <c:v>14.97909728533833</c:v>
              </c:pt>
              <c:pt idx="1">
                <c:v>15.138892227167009</c:v>
              </c:pt>
            </c:numLit>
          </c:xVal>
          <c:yVal>
            <c:numLit>
              <c:formatCode>General</c:formatCode>
              <c:ptCount val="2"/>
              <c:pt idx="0">
                <c:v>2.9693831622722384E-2</c:v>
              </c:pt>
              <c:pt idx="1">
                <c:v>2.9881628014637864E-2</c:v>
              </c:pt>
            </c:numLit>
          </c:yVal>
          <c:smooth val="0"/>
          <c:extLst>
            <c:ext xmlns:c16="http://schemas.microsoft.com/office/drawing/2014/chart" uri="{C3380CC4-5D6E-409C-BE32-E72D297353CC}">
              <c16:uniqueId val="{0000000C-2155-4DFF-8C0A-E03BB7E43D67}"/>
            </c:ext>
          </c:extLst>
        </c:ser>
        <c:ser>
          <c:idx val="11"/>
          <c:order val="11"/>
          <c:spPr>
            <a:ln w="3175">
              <a:solidFill>
                <a:srgbClr val="000000"/>
              </a:solidFill>
              <a:prstDash val="solid"/>
            </a:ln>
          </c:spPr>
          <c:marker>
            <c:symbol val="none"/>
          </c:marker>
          <c:xVal>
            <c:numLit>
              <c:formatCode>General</c:formatCode>
              <c:ptCount val="2"/>
              <c:pt idx="0">
                <c:v>14.659283952235356</c:v>
              </c:pt>
              <c:pt idx="1">
                <c:v>14.965167550188299</c:v>
              </c:pt>
            </c:numLit>
          </c:xVal>
          <c:yVal>
            <c:numLit>
              <c:formatCode>General</c:formatCode>
              <c:ptCount val="2"/>
              <c:pt idx="0">
                <c:v>2.9838322153782595E-2</c:v>
              </c:pt>
              <c:pt idx="1">
                <c:v>3.0220107388944706E-2</c:v>
              </c:pt>
            </c:numLit>
          </c:yVal>
          <c:smooth val="0"/>
          <c:extLst>
            <c:ext xmlns:c16="http://schemas.microsoft.com/office/drawing/2014/chart" uri="{C3380CC4-5D6E-409C-BE32-E72D297353CC}">
              <c16:uniqueId val="{0000000D-2155-4DFF-8C0A-E03BB7E43D67}"/>
            </c:ext>
          </c:extLst>
        </c:ser>
        <c:ser>
          <c:idx val="12"/>
          <c:order val="12"/>
          <c:spPr>
            <a:ln w="3175">
              <a:solidFill>
                <a:srgbClr val="000000"/>
              </a:solidFill>
              <a:prstDash val="solid"/>
            </a:ln>
          </c:spPr>
          <c:marker>
            <c:symbol val="none"/>
          </c:marker>
          <c:dLbls>
            <c:dLbl>
              <c:idx val="0"/>
              <c:tx>
                <c:rich>
                  <a:bodyPr rot="-35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15.525954146435364</c:v>
              </c:pt>
            </c:numLit>
          </c:xVal>
          <c:yVal>
            <c:numLit>
              <c:formatCode>General</c:formatCode>
              <c:ptCount val="1"/>
              <c:pt idx="0">
                <c:v>3.0920046986741907E-2</c:v>
              </c:pt>
            </c:numLit>
          </c:yVal>
          <c:smooth val="0"/>
          <c:extLst>
            <c:ext xmlns:c16="http://schemas.microsoft.com/office/drawing/2014/chart" uri="{C3380CC4-5D6E-409C-BE32-E72D297353CC}">
              <c16:uniqueId val="{0000000F-2155-4DFF-8C0A-E03BB7E43D67}"/>
            </c:ext>
          </c:extLst>
        </c:ser>
        <c:ser>
          <c:idx val="13"/>
          <c:order val="13"/>
          <c:spPr>
            <a:ln w="3175">
              <a:solidFill>
                <a:srgbClr val="000000"/>
              </a:solidFill>
              <a:prstDash val="solid"/>
            </a:ln>
          </c:spPr>
          <c:marker>
            <c:symbol val="none"/>
          </c:marker>
          <c:xVal>
            <c:numLit>
              <c:formatCode>General</c:formatCode>
              <c:ptCount val="2"/>
              <c:pt idx="0">
                <c:v>14.323628642858322</c:v>
              </c:pt>
              <c:pt idx="1">
                <c:v>14.469377828062429</c:v>
              </c:pt>
            </c:numLit>
          </c:xVal>
          <c:yVal>
            <c:numLit>
              <c:formatCode>General</c:formatCode>
              <c:ptCount val="2"/>
              <c:pt idx="0">
                <c:v>2.9980844463909358E-2</c:v>
              </c:pt>
              <c:pt idx="1">
                <c:v>3.0174791130993129E-2</c:v>
              </c:pt>
            </c:numLit>
          </c:yVal>
          <c:smooth val="0"/>
          <c:extLst>
            <c:ext xmlns:c16="http://schemas.microsoft.com/office/drawing/2014/chart" uri="{C3380CC4-5D6E-409C-BE32-E72D297353CC}">
              <c16:uniqueId val="{00000010-2155-4DFF-8C0A-E03BB7E43D67}"/>
            </c:ext>
          </c:extLst>
        </c:ser>
        <c:ser>
          <c:idx val="14"/>
          <c:order val="14"/>
          <c:spPr>
            <a:ln w="3175">
              <a:solidFill>
                <a:srgbClr val="000000"/>
              </a:solidFill>
              <a:prstDash val="solid"/>
            </a:ln>
          </c:spPr>
          <c:marker>
            <c:symbol val="none"/>
          </c:marker>
          <c:xVal>
            <c:numLit>
              <c:formatCode>General</c:formatCode>
              <c:ptCount val="2"/>
              <c:pt idx="0">
                <c:v>13.971888226311023</c:v>
              </c:pt>
              <c:pt idx="1">
                <c:v>14.248312007438637</c:v>
              </c:pt>
            </c:numLit>
          </c:xVal>
          <c:yVal>
            <c:numLit>
              <c:formatCode>General</c:formatCode>
              <c:ptCount val="2"/>
              <c:pt idx="0">
                <c:v>3.0120633931542337E-2</c:v>
              </c:pt>
              <c:pt idx="1">
                <c:v>3.051451824289415E-2</c:v>
              </c:pt>
            </c:numLit>
          </c:yVal>
          <c:smooth val="0"/>
          <c:extLst>
            <c:ext xmlns:c16="http://schemas.microsoft.com/office/drawing/2014/chart" uri="{C3380CC4-5D6E-409C-BE32-E72D297353CC}">
              <c16:uniqueId val="{00000011-2155-4DFF-8C0A-E03BB7E43D67}"/>
            </c:ext>
          </c:extLst>
        </c:ser>
        <c:ser>
          <c:idx val="15"/>
          <c:order val="15"/>
          <c:spPr>
            <a:ln w="3175">
              <a:solidFill>
                <a:srgbClr val="000000"/>
              </a:solidFill>
              <a:prstDash val="solid"/>
            </a:ln>
          </c:spPr>
          <c:marker>
            <c:symbol val="none"/>
          </c:marker>
          <c:xVal>
            <c:numLit>
              <c:formatCode>General</c:formatCode>
              <c:ptCount val="2"/>
              <c:pt idx="0">
                <c:v>13.603931620112528</c:v>
              </c:pt>
              <c:pt idx="1">
                <c:v>13.734258726257798</c:v>
              </c:pt>
            </c:numLit>
          </c:xVal>
          <c:yVal>
            <c:numLit>
              <c:formatCode>General</c:formatCode>
              <c:ptCount val="2"/>
              <c:pt idx="0">
                <c:v>3.0256864649135986E-2</c:v>
              </c:pt>
              <c:pt idx="1">
                <c:v>3.0456726034474614E-2</c:v>
              </c:pt>
            </c:numLit>
          </c:yVal>
          <c:smooth val="0"/>
          <c:extLst>
            <c:ext xmlns:c16="http://schemas.microsoft.com/office/drawing/2014/chart" uri="{C3380CC4-5D6E-409C-BE32-E72D297353CC}">
              <c16:uniqueId val="{00000012-2155-4DFF-8C0A-E03BB7E43D67}"/>
            </c:ext>
          </c:extLst>
        </c:ser>
        <c:ser>
          <c:idx val="16"/>
          <c:order val="16"/>
          <c:spPr>
            <a:ln w="3175">
              <a:solidFill>
                <a:srgbClr val="000000"/>
              </a:solidFill>
              <a:prstDash val="solid"/>
            </a:ln>
          </c:spPr>
          <c:marker>
            <c:symbol val="none"/>
          </c:marker>
          <c:xVal>
            <c:numLit>
              <c:formatCode>General</c:formatCode>
              <c:ptCount val="2"/>
              <c:pt idx="0">
                <c:v>13.2197584950931</c:v>
              </c:pt>
              <c:pt idx="1">
                <c:v>13.463948144882803</c:v>
              </c:pt>
            </c:numLit>
          </c:xVal>
          <c:yVal>
            <c:numLit>
              <c:formatCode>General</c:formatCode>
              <c:ptCount val="2"/>
              <c:pt idx="0">
                <c:v>3.0388655191524186E-2</c:v>
              </c:pt>
              <c:pt idx="1">
                <c:v>3.0794026128303793E-2</c:v>
              </c:pt>
            </c:numLit>
          </c:yVal>
          <c:smooth val="0"/>
          <c:extLst>
            <c:ext xmlns:c16="http://schemas.microsoft.com/office/drawing/2014/chart" uri="{C3380CC4-5D6E-409C-BE32-E72D297353CC}">
              <c16:uniqueId val="{00000013-2155-4DFF-8C0A-E03BB7E43D67}"/>
            </c:ext>
          </c:extLst>
        </c:ser>
        <c:ser>
          <c:idx val="17"/>
          <c:order val="17"/>
          <c:spPr>
            <a:ln w="3175">
              <a:solidFill>
                <a:srgbClr val="000000"/>
              </a:solidFill>
              <a:prstDash val="solid"/>
            </a:ln>
          </c:spPr>
          <c:marker>
            <c:symbol val="none"/>
          </c:marker>
          <c:dLbls>
            <c:dLbl>
              <c:idx val="0"/>
              <c:tx>
                <c:rich>
                  <a:bodyPr rot="-3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13.91162916949726</c:v>
              </c:pt>
            </c:numLit>
          </c:xVal>
          <c:yVal>
            <c:numLit>
              <c:formatCode>General</c:formatCode>
              <c:ptCount val="1"/>
              <c:pt idx="0">
                <c:v>3.1537206179066406E-2</c:v>
              </c:pt>
            </c:numLit>
          </c:yVal>
          <c:smooth val="0"/>
          <c:extLst>
            <c:ext xmlns:c16="http://schemas.microsoft.com/office/drawing/2014/chart" uri="{C3380CC4-5D6E-409C-BE32-E72D297353CC}">
              <c16:uniqueId val="{00000015-2155-4DFF-8C0A-E03BB7E43D67}"/>
            </c:ext>
          </c:extLst>
        </c:ser>
        <c:ser>
          <c:idx val="18"/>
          <c:order val="18"/>
          <c:spPr>
            <a:ln w="3175">
              <a:solidFill>
                <a:srgbClr val="000000"/>
              </a:solidFill>
              <a:prstDash val="solid"/>
            </a:ln>
          </c:spPr>
          <c:marker>
            <c:symbol val="none"/>
          </c:marker>
          <c:xVal>
            <c:numLit>
              <c:formatCode>General</c:formatCode>
              <c:ptCount val="2"/>
              <c:pt idx="0">
                <c:v>12.819517711563606</c:v>
              </c:pt>
              <c:pt idx="1">
                <c:v>12.933035948239969</c:v>
              </c:pt>
            </c:numLit>
          </c:xVal>
          <c:yVal>
            <c:numLit>
              <c:formatCode>General</c:formatCode>
              <c:ptCount val="2"/>
              <c:pt idx="0">
                <c:v>3.0515077010490988E-2</c:v>
              </c:pt>
              <c:pt idx="1">
                <c:v>3.0720471517858654E-2</c:v>
              </c:pt>
            </c:numLit>
          </c:yVal>
          <c:smooth val="0"/>
          <c:extLst>
            <c:ext xmlns:c16="http://schemas.microsoft.com/office/drawing/2014/chart" uri="{C3380CC4-5D6E-409C-BE32-E72D297353CC}">
              <c16:uniqueId val="{00000016-2155-4DFF-8C0A-E03BB7E43D67}"/>
            </c:ext>
          </c:extLst>
        </c:ser>
        <c:ser>
          <c:idx val="19"/>
          <c:order val="19"/>
          <c:spPr>
            <a:ln w="3175">
              <a:solidFill>
                <a:srgbClr val="000000"/>
              </a:solidFill>
              <a:prstDash val="solid"/>
            </a:ln>
          </c:spPr>
          <c:marker>
            <c:symbol val="none"/>
          </c:marker>
          <c:xVal>
            <c:numLit>
              <c:formatCode>General</c:formatCode>
              <c:ptCount val="2"/>
              <c:pt idx="0">
                <c:v>12.403524669547116</c:v>
              </c:pt>
              <c:pt idx="1">
                <c:v>12.612732869670563</c:v>
              </c:pt>
            </c:numLit>
          </c:xVal>
          <c:yVal>
            <c:numLit>
              <c:formatCode>General</c:formatCode>
              <c:ptCount val="2"/>
              <c:pt idx="0">
                <c:v>3.0635165647360473E-2</c:v>
              </c:pt>
              <c:pt idx="1">
                <c:v>3.1051101317961634E-2</c:v>
              </c:pt>
            </c:numLit>
          </c:yVal>
          <c:smooth val="0"/>
          <c:extLst>
            <c:ext xmlns:c16="http://schemas.microsoft.com/office/drawing/2014/chart" uri="{C3380CC4-5D6E-409C-BE32-E72D297353CC}">
              <c16:uniqueId val="{00000017-2155-4DFF-8C0A-E03BB7E43D67}"/>
            </c:ext>
          </c:extLst>
        </c:ser>
        <c:ser>
          <c:idx val="20"/>
          <c:order val="20"/>
          <c:spPr>
            <a:ln w="3175">
              <a:solidFill>
                <a:srgbClr val="000000"/>
              </a:solidFill>
              <a:prstDash val="solid"/>
            </a:ln>
          </c:spPr>
          <c:marker>
            <c:symbol val="none"/>
          </c:marker>
          <c:xVal>
            <c:numLit>
              <c:formatCode>General</c:formatCode>
              <c:ptCount val="2"/>
              <c:pt idx="0">
                <c:v>11.972276624673018</c:v>
              </c:pt>
              <c:pt idx="1">
                <c:v>12.067639695201725</c:v>
              </c:pt>
            </c:numLit>
          </c:xVal>
          <c:yVal>
            <c:numLit>
              <c:formatCode>General</c:formatCode>
              <c:ptCount val="2"/>
              <c:pt idx="0">
                <c:v>3.0747934834256706E-2</c:v>
              </c:pt>
              <c:pt idx="1">
                <c:v>3.0958319152133637E-2</c:v>
              </c:pt>
            </c:numLit>
          </c:yVal>
          <c:smooth val="0"/>
          <c:extLst>
            <c:ext xmlns:c16="http://schemas.microsoft.com/office/drawing/2014/chart" uri="{C3380CC4-5D6E-409C-BE32-E72D297353CC}">
              <c16:uniqueId val="{00000018-2155-4DFF-8C0A-E03BB7E43D67}"/>
            </c:ext>
          </c:extLst>
        </c:ser>
        <c:ser>
          <c:idx val="21"/>
          <c:order val="21"/>
          <c:spPr>
            <a:ln w="3175">
              <a:solidFill>
                <a:srgbClr val="000000"/>
              </a:solidFill>
              <a:prstDash val="solid"/>
            </a:ln>
          </c:spPr>
          <c:marker>
            <c:symbol val="none"/>
          </c:marker>
          <c:xVal>
            <c:numLit>
              <c:formatCode>General</c:formatCode>
              <c:ptCount val="2"/>
              <c:pt idx="0">
                <c:v>11.526464929155814</c:v>
              </c:pt>
              <c:pt idx="1">
                <c:v>11.698084854691064</c:v>
              </c:pt>
            </c:numLit>
          </c:xVal>
          <c:yVal>
            <c:numLit>
              <c:formatCode>General</c:formatCode>
              <c:ptCount val="2"/>
              <c:pt idx="0">
                <c:v>3.085239339588855E-2</c:v>
              </c:pt>
              <c:pt idx="1">
                <c:v>3.1277638827140915E-2</c:v>
              </c:pt>
            </c:numLit>
          </c:yVal>
          <c:smooth val="0"/>
          <c:extLst>
            <c:ext xmlns:c16="http://schemas.microsoft.com/office/drawing/2014/chart" uri="{C3380CC4-5D6E-409C-BE32-E72D297353CC}">
              <c16:uniqueId val="{00000019-2155-4DFF-8C0A-E03BB7E43D67}"/>
            </c:ext>
          </c:extLst>
        </c:ser>
        <c:ser>
          <c:idx val="22"/>
          <c:order val="22"/>
          <c:spPr>
            <a:ln w="3175">
              <a:solidFill>
                <a:srgbClr val="000000"/>
              </a:solidFill>
              <a:prstDash val="solid"/>
            </a:ln>
          </c:spPr>
          <c:marker>
            <c:symbol val="none"/>
          </c:marker>
          <c:dLbls>
            <c:dLbl>
              <c:idx val="0"/>
              <c:tx>
                <c:rich>
                  <a:bodyPr rot="-43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12.01272138483902</c:v>
              </c:pt>
            </c:numLit>
          </c:xVal>
          <c:yVal>
            <c:numLit>
              <c:formatCode>General</c:formatCode>
              <c:ptCount val="1"/>
              <c:pt idx="0">
                <c:v>3.2057255451103592E-2</c:v>
              </c:pt>
            </c:numLit>
          </c:yVal>
          <c:smooth val="0"/>
          <c:extLst>
            <c:ext xmlns:c16="http://schemas.microsoft.com/office/drawing/2014/chart" uri="{C3380CC4-5D6E-409C-BE32-E72D297353CC}">
              <c16:uniqueId val="{0000001B-2155-4DFF-8C0A-E03BB7E43D67}"/>
            </c:ext>
          </c:extLst>
        </c:ser>
        <c:ser>
          <c:idx val="23"/>
          <c:order val="23"/>
          <c:spPr>
            <a:ln w="3175">
              <a:solidFill>
                <a:srgbClr val="000000"/>
              </a:solidFill>
              <a:prstDash val="solid"/>
            </a:ln>
          </c:spPr>
          <c:marker>
            <c:symbol val="none"/>
          </c:marker>
          <c:xVal>
            <c:numLit>
              <c:formatCode>General</c:formatCode>
              <c:ptCount val="2"/>
              <c:pt idx="0">
                <c:v>11.066983124686066</c:v>
              </c:pt>
              <c:pt idx="1">
                <c:v>11.142947048786482</c:v>
              </c:pt>
            </c:numLit>
          </c:xVal>
          <c:yVal>
            <c:numLit>
              <c:formatCode>General</c:formatCode>
              <c:ptCount val="2"/>
              <c:pt idx="0">
                <c:v>3.0947564672567929E-2</c:v>
              </c:pt>
              <c:pt idx="1">
                <c:v>3.1162226772694385E-2</c:v>
              </c:pt>
            </c:numLit>
          </c:yVal>
          <c:smooth val="0"/>
          <c:extLst>
            <c:ext xmlns:c16="http://schemas.microsoft.com/office/drawing/2014/chart" uri="{C3380CC4-5D6E-409C-BE32-E72D297353CC}">
              <c16:uniqueId val="{0000001C-2155-4DFF-8C0A-E03BB7E43D67}"/>
            </c:ext>
          </c:extLst>
        </c:ser>
        <c:ser>
          <c:idx val="24"/>
          <c:order val="24"/>
          <c:spPr>
            <a:ln w="3175">
              <a:solidFill>
                <a:srgbClr val="000000"/>
              </a:solidFill>
              <a:prstDash val="solid"/>
            </a:ln>
          </c:spPr>
          <c:marker>
            <c:symbol val="none"/>
          </c:marker>
          <c:xVal>
            <c:numLit>
              <c:formatCode>General</c:formatCode>
              <c:ptCount val="2"/>
              <c:pt idx="0">
                <c:v>10.594929860498169</c:v>
              </c:pt>
              <c:pt idx="1">
                <c:v>10.72662685451952</c:v>
              </c:pt>
            </c:numLit>
          </c:xVal>
          <c:yVal>
            <c:numLit>
              <c:formatCode>General</c:formatCode>
              <c:ptCount val="2"/>
              <c:pt idx="0">
                <c:v>3.1032507972748882E-2</c:v>
              </c:pt>
              <c:pt idx="1">
                <c:v>3.1465472600152408E-2</c:v>
              </c:pt>
            </c:numLit>
          </c:yVal>
          <c:smooth val="0"/>
          <c:extLst>
            <c:ext xmlns:c16="http://schemas.microsoft.com/office/drawing/2014/chart" uri="{C3380CC4-5D6E-409C-BE32-E72D297353CC}">
              <c16:uniqueId val="{0000001D-2155-4DFF-8C0A-E03BB7E43D67}"/>
            </c:ext>
          </c:extLst>
        </c:ser>
        <c:ser>
          <c:idx val="25"/>
          <c:order val="25"/>
          <c:spPr>
            <a:ln w="3175">
              <a:solidFill>
                <a:srgbClr val="000000"/>
              </a:solidFill>
              <a:prstDash val="solid"/>
            </a:ln>
          </c:spPr>
          <c:marker>
            <c:symbol val="none"/>
          </c:marker>
          <c:xVal>
            <c:numLit>
              <c:formatCode>General</c:formatCode>
              <c:ptCount val="2"/>
              <c:pt idx="0">
                <c:v>10.111605750259969</c:v>
              </c:pt>
              <c:pt idx="1">
                <c:v>10.167097302051253</c:v>
              </c:pt>
            </c:numLit>
          </c:xVal>
          <c:yVal>
            <c:numLit>
              <c:formatCode>General</c:formatCode>
              <c:ptCount val="2"/>
              <c:pt idx="0">
                <c:v>3.1106341346724724E-2</c:v>
              </c:pt>
              <c:pt idx="1">
                <c:v>3.1324405804154541E-2</c:v>
              </c:pt>
            </c:numLit>
          </c:yVal>
          <c:smooth val="0"/>
          <c:extLst>
            <c:ext xmlns:c16="http://schemas.microsoft.com/office/drawing/2014/chart" uri="{C3380CC4-5D6E-409C-BE32-E72D297353CC}">
              <c16:uniqueId val="{0000001E-2155-4DFF-8C0A-E03BB7E43D67}"/>
            </c:ext>
          </c:extLst>
        </c:ser>
        <c:ser>
          <c:idx val="26"/>
          <c:order val="26"/>
          <c:spPr>
            <a:ln w="3175">
              <a:solidFill>
                <a:srgbClr val="000000"/>
              </a:solidFill>
              <a:prstDash val="solid"/>
            </a:ln>
          </c:spPr>
          <c:marker>
            <c:symbol val="none"/>
          </c:marker>
          <c:xVal>
            <c:numLit>
              <c:formatCode>General</c:formatCode>
              <c:ptCount val="2"/>
              <c:pt idx="0">
                <c:v>9.6185035223870123</c:v>
              </c:pt>
              <c:pt idx="1">
                <c:v>9.7083536733464566</c:v>
              </c:pt>
            </c:numLit>
          </c:xVal>
          <c:yVal>
            <c:numLit>
              <c:formatCode>General</c:formatCode>
              <c:ptCount val="2"/>
              <c:pt idx="0">
                <c:v>3.1168264774375409E-2</c:v>
              </c:pt>
              <c:pt idx="1">
                <c:v>3.160704755042007E-2</c:v>
              </c:pt>
            </c:numLit>
          </c:yVal>
          <c:smooth val="0"/>
          <c:extLst>
            <c:ext xmlns:c16="http://schemas.microsoft.com/office/drawing/2014/chart" uri="{C3380CC4-5D6E-409C-BE32-E72D297353CC}">
              <c16:uniqueId val="{0000001F-2155-4DFF-8C0A-E03BB7E43D67}"/>
            </c:ext>
          </c:extLst>
        </c:ser>
        <c:ser>
          <c:idx val="27"/>
          <c:order val="27"/>
          <c:spPr>
            <a:ln w="3175">
              <a:solidFill>
                <a:srgbClr val="000000"/>
              </a:solidFill>
              <a:prstDash val="solid"/>
            </a:ln>
          </c:spPr>
          <c:marker>
            <c:symbol val="none"/>
          </c:marker>
          <c:dLbls>
            <c:dLbl>
              <c:idx val="0"/>
              <c:tx>
                <c:rich>
                  <a:bodyPr rot="-48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9.8730789501054357</c:v>
              </c:pt>
            </c:numLit>
          </c:xVal>
          <c:yVal>
            <c:numLit>
              <c:formatCode>General</c:formatCode>
              <c:ptCount val="1"/>
              <c:pt idx="0">
                <c:v>3.241148263983528E-2</c:v>
              </c:pt>
            </c:numLit>
          </c:yVal>
          <c:smooth val="0"/>
          <c:extLst>
            <c:ext xmlns:c16="http://schemas.microsoft.com/office/drawing/2014/chart" uri="{C3380CC4-5D6E-409C-BE32-E72D297353CC}">
              <c16:uniqueId val="{00000021-2155-4DFF-8C0A-E03BB7E43D67}"/>
            </c:ext>
          </c:extLst>
        </c:ser>
        <c:ser>
          <c:idx val="28"/>
          <c:order val="28"/>
          <c:spPr>
            <a:ln w="3175">
              <a:solidFill>
                <a:srgbClr val="000000"/>
              </a:solidFill>
              <a:prstDash val="solid"/>
            </a:ln>
          </c:spPr>
          <c:marker>
            <c:symbol val="none"/>
          </c:marker>
          <c:xVal>
            <c:numLit>
              <c:formatCode>General</c:formatCode>
              <c:ptCount val="2"/>
              <c:pt idx="0">
                <c:v>9.1172911549090987</c:v>
              </c:pt>
              <c:pt idx="1">
                <c:v>9.1514759653714375</c:v>
              </c:pt>
            </c:numLit>
          </c:xVal>
          <c:yVal>
            <c:numLit>
              <c:formatCode>General</c:formatCode>
              <c:ptCount val="2"/>
              <c:pt idx="0">
                <c:v>3.1217582704093288E-2</c:v>
              </c:pt>
              <c:pt idx="1">
                <c:v>3.1438030904895289E-2</c:v>
              </c:pt>
            </c:numLit>
          </c:yVal>
          <c:smooth val="0"/>
          <c:extLst>
            <c:ext xmlns:c16="http://schemas.microsoft.com/office/drawing/2014/chart" uri="{C3380CC4-5D6E-409C-BE32-E72D297353CC}">
              <c16:uniqueId val="{00000022-2155-4DFF-8C0A-E03BB7E43D67}"/>
            </c:ext>
          </c:extLst>
        </c:ser>
        <c:ser>
          <c:idx val="29"/>
          <c:order val="29"/>
          <c:spPr>
            <a:ln w="3175">
              <a:solidFill>
                <a:srgbClr val="000000"/>
              </a:solidFill>
              <a:prstDash val="solid"/>
            </a:ln>
          </c:spPr>
          <c:marker>
            <c:symbol val="none"/>
          </c:marker>
          <c:xVal>
            <c:numLit>
              <c:formatCode>General</c:formatCode>
              <c:ptCount val="2"/>
              <c:pt idx="0">
                <c:v>8.6097880993478064</c:v>
              </c:pt>
              <c:pt idx="1">
                <c:v>8.6564075893198567</c:v>
              </c:pt>
            </c:numLit>
          </c:xVal>
          <c:yVal>
            <c:numLit>
              <c:formatCode>General</c:formatCode>
              <c:ptCount val="2"/>
              <c:pt idx="0">
                <c:v>3.1253724791923544E-2</c:v>
              </c:pt>
              <c:pt idx="1">
                <c:v>3.169617014014884E-2</c:v>
              </c:pt>
            </c:numLit>
          </c:yVal>
          <c:smooth val="0"/>
          <c:extLst>
            <c:ext xmlns:c16="http://schemas.microsoft.com/office/drawing/2014/chart" uri="{C3380CC4-5D6E-409C-BE32-E72D297353CC}">
              <c16:uniqueId val="{00000023-2155-4DFF-8C0A-E03BB7E43D67}"/>
            </c:ext>
          </c:extLst>
        </c:ser>
        <c:ser>
          <c:idx val="30"/>
          <c:order val="30"/>
          <c:spPr>
            <a:ln w="3175">
              <a:solidFill>
                <a:srgbClr val="000000"/>
              </a:solidFill>
              <a:prstDash val="solid"/>
            </a:ln>
          </c:spPr>
          <c:marker>
            <c:symbol val="none"/>
          </c:marker>
          <c:xVal>
            <c:numLit>
              <c:formatCode>General</c:formatCode>
              <c:ptCount val="2"/>
              <c:pt idx="0">
                <c:v>8.0979351556909851</c:v>
              </c:pt>
              <c:pt idx="1">
                <c:v>8.1102766233129344</c:v>
              </c:pt>
            </c:numLit>
          </c:xVal>
          <c:yVal>
            <c:numLit>
              <c:formatCode>General</c:formatCode>
              <c:ptCount val="2"/>
              <c:pt idx="0">
                <c:v>3.127626368973449E-2</c:v>
              </c:pt>
              <c:pt idx="1">
                <c:v>3.1497969340228804E-2</c:v>
              </c:pt>
            </c:numLit>
          </c:yVal>
          <c:smooth val="0"/>
          <c:extLst>
            <c:ext xmlns:c16="http://schemas.microsoft.com/office/drawing/2014/chart" uri="{C3380CC4-5D6E-409C-BE32-E72D297353CC}">
              <c16:uniqueId val="{00000024-2155-4DFF-8C0A-E03BB7E43D67}"/>
            </c:ext>
          </c:extLst>
        </c:ser>
        <c:ser>
          <c:idx val="31"/>
          <c:order val="31"/>
          <c:spPr>
            <a:ln w="3175">
              <a:solidFill>
                <a:srgbClr val="000000"/>
              </a:solidFill>
              <a:prstDash val="solid"/>
            </a:ln>
          </c:spPr>
          <c:marker>
            <c:symbol val="none"/>
          </c:marker>
          <c:xVal>
            <c:numLit>
              <c:formatCode>General</c:formatCode>
              <c:ptCount val="2"/>
              <c:pt idx="0">
                <c:v>7.5837590188694071</c:v>
              </c:pt>
              <c:pt idx="1">
                <c:v>7.5864058339638101</c:v>
              </c:pt>
            </c:numLit>
          </c:xVal>
          <c:yVal>
            <c:numLit>
              <c:formatCode>General</c:formatCode>
              <c:ptCount val="2"/>
              <c:pt idx="0">
                <c:v>3.1284928830437236E-2</c:v>
              </c:pt>
              <c:pt idx="1">
                <c:v>3.1728711494598834E-2</c:v>
              </c:pt>
            </c:numLit>
          </c:yVal>
          <c:smooth val="0"/>
          <c:extLst>
            <c:ext xmlns:c16="http://schemas.microsoft.com/office/drawing/2014/chart" uri="{C3380CC4-5D6E-409C-BE32-E72D297353CC}">
              <c16:uniqueId val="{00000025-2155-4DFF-8C0A-E03BB7E43D67}"/>
            </c:ext>
          </c:extLst>
        </c:ser>
        <c:ser>
          <c:idx val="32"/>
          <c:order val="32"/>
          <c:spPr>
            <a:ln w="3175">
              <a:solidFill>
                <a:srgbClr val="000000"/>
              </a:solidFill>
              <a:prstDash val="solid"/>
            </a:ln>
          </c:spPr>
          <c:marker>
            <c:symbol val="none"/>
          </c:marker>
          <c:dLbls>
            <c:dLbl>
              <c:idx val="0"/>
              <c:tx>
                <c:rich>
                  <a:bodyPr rot="-5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7.5912583283035486</c:v>
              </c:pt>
            </c:numLit>
          </c:xVal>
          <c:yVal>
            <c:numLit>
              <c:formatCode>General</c:formatCode>
              <c:ptCount val="1"/>
              <c:pt idx="0">
                <c:v>3.2542313045561759E-2</c:v>
              </c:pt>
            </c:numLit>
          </c:yVal>
          <c:smooth val="0"/>
          <c:extLst>
            <c:ext xmlns:c16="http://schemas.microsoft.com/office/drawing/2014/chart" uri="{C3380CC4-5D6E-409C-BE32-E72D297353CC}">
              <c16:uniqueId val="{00000027-2155-4DFF-8C0A-E03BB7E43D67}"/>
            </c:ext>
          </c:extLst>
        </c:ser>
        <c:ser>
          <c:idx val="33"/>
          <c:order val="33"/>
          <c:spPr>
            <a:ln w="3175">
              <a:solidFill>
                <a:srgbClr val="000000"/>
              </a:solidFill>
              <a:prstDash val="solid"/>
            </a:ln>
          </c:spPr>
          <c:marker>
            <c:symbol val="none"/>
          </c:marker>
          <c:xVal>
            <c:numLit>
              <c:formatCode>General</c:formatCode>
              <c:ptCount val="2"/>
              <c:pt idx="0">
                <c:v>7.069332926750965</c:v>
              </c:pt>
              <c:pt idx="1">
                <c:v>7.0596329180384858</c:v>
              </c:pt>
            </c:numLit>
          </c:xVal>
          <c:yVal>
            <c:numLit>
              <c:formatCode>General</c:formatCode>
              <c:ptCount val="2"/>
              <c:pt idx="0">
                <c:v>3.1279615356557502E-2</c:v>
              </c:pt>
              <c:pt idx="1">
                <c:v>3.1501392828483736E-2</c:v>
              </c:pt>
            </c:numLit>
          </c:yVal>
          <c:smooth val="0"/>
          <c:extLst>
            <c:ext xmlns:c16="http://schemas.microsoft.com/office/drawing/2014/chart" uri="{C3380CC4-5D6E-409C-BE32-E72D297353CC}">
              <c16:uniqueId val="{00000028-2155-4DFF-8C0A-E03BB7E43D67}"/>
            </c:ext>
          </c:extLst>
        </c:ser>
        <c:ser>
          <c:idx val="34"/>
          <c:order val="34"/>
          <c:spPr>
            <a:ln w="3175">
              <a:solidFill>
                <a:srgbClr val="000000"/>
              </a:solidFill>
              <a:prstDash val="solid"/>
            </a:ln>
          </c:spPr>
          <c:marker>
            <c:symbol val="none"/>
          </c:marker>
          <c:xVal>
            <c:numLit>
              <c:formatCode>General</c:formatCode>
              <c:ptCount val="2"/>
              <c:pt idx="0">
                <c:v>6.5567351526053601</c:v>
              </c:pt>
              <c:pt idx="1">
                <c:v>6.5153666591455899</c:v>
              </c:pt>
            </c:numLit>
          </c:xVal>
          <c:yVal>
            <c:numLit>
              <c:formatCode>General</c:formatCode>
              <c:ptCount val="2"/>
              <c:pt idx="0">
                <c:v>3.1260387622117129E-2</c:v>
              </c:pt>
              <c:pt idx="1">
                <c:v>3.1703118520207865E-2</c:v>
              </c:pt>
            </c:numLit>
          </c:yVal>
          <c:smooth val="0"/>
          <c:extLst>
            <c:ext xmlns:c16="http://schemas.microsoft.com/office/drawing/2014/chart" uri="{C3380CC4-5D6E-409C-BE32-E72D297353CC}">
              <c16:uniqueId val="{00000029-2155-4DFF-8C0A-E03BB7E43D67}"/>
            </c:ext>
          </c:extLst>
        </c:ser>
        <c:ser>
          <c:idx val="35"/>
          <c:order val="35"/>
          <c:spPr>
            <a:ln w="3175">
              <a:solidFill>
                <a:srgbClr val="000000"/>
              </a:solidFill>
              <a:prstDash val="solid"/>
            </a:ln>
          </c:spPr>
          <c:marker>
            <c:symbol val="none"/>
          </c:marker>
          <c:xVal>
            <c:numLit>
              <c:formatCode>General</c:formatCode>
              <c:ptCount val="2"/>
              <c:pt idx="0">
                <c:v>6.048007262567018</c:v>
              </c:pt>
              <c:pt idx="1">
                <c:v>6.0164217039077394</c:v>
              </c:pt>
            </c:numLit>
          </c:xVal>
          <c:yVal>
            <c:numLit>
              <c:formatCode>General</c:formatCode>
              <c:ptCount val="2"/>
              <c:pt idx="0">
                <c:v>3.1227477040677638E-2</c:v>
              </c:pt>
              <c:pt idx="1">
                <c:v>3.1448137262977877E-2</c:v>
              </c:pt>
            </c:numLit>
          </c:yVal>
          <c:smooth val="0"/>
          <c:extLst>
            <c:ext xmlns:c16="http://schemas.microsoft.com/office/drawing/2014/chart" uri="{C3380CC4-5D6E-409C-BE32-E72D297353CC}">
              <c16:uniqueId val="{0000002A-2155-4DFF-8C0A-E03BB7E43D67}"/>
            </c:ext>
          </c:extLst>
        </c:ser>
        <c:ser>
          <c:idx val="36"/>
          <c:order val="36"/>
          <c:spPr>
            <a:ln w="3175">
              <a:solidFill>
                <a:srgbClr val="000000"/>
              </a:solidFill>
              <a:prstDash val="solid"/>
            </a:ln>
          </c:spPr>
          <c:marker>
            <c:symbol val="none"/>
          </c:marker>
          <c:xVal>
            <c:numLit>
              <c:formatCode>General</c:formatCode>
              <c:ptCount val="2"/>
              <c:pt idx="0">
                <c:v>5.5451140781737465</c:v>
              </c:pt>
              <c:pt idx="1">
                <c:v>5.4603903958097648</c:v>
              </c:pt>
            </c:numLit>
          </c:xVal>
          <c:yVal>
            <c:numLit>
              <c:formatCode>General</c:formatCode>
              <c:ptCount val="2"/>
              <c:pt idx="0">
                <c:v>3.1181274419367078E-2</c:v>
              </c:pt>
              <c:pt idx="1">
                <c:v>3.1620614751625663E-2</c:v>
              </c:pt>
            </c:numLit>
          </c:yVal>
          <c:smooth val="0"/>
          <c:extLst>
            <c:ext xmlns:c16="http://schemas.microsoft.com/office/drawing/2014/chart" uri="{C3380CC4-5D6E-409C-BE32-E72D297353CC}">
              <c16:uniqueId val="{0000002B-2155-4DFF-8C0A-E03BB7E43D67}"/>
            </c:ext>
          </c:extLst>
        </c:ser>
        <c:ser>
          <c:idx val="37"/>
          <c:order val="37"/>
          <c:spPr>
            <a:ln w="3175">
              <a:solidFill>
                <a:srgbClr val="000000"/>
              </a:solidFill>
              <a:prstDash val="solid"/>
            </a:ln>
          </c:spPr>
          <c:marker>
            <c:symbol val="none"/>
          </c:marker>
          <c:dLbls>
            <c:dLbl>
              <c:idx val="0"/>
              <c:tx>
                <c:rich>
                  <a:bodyPr rot="49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5.3050636448091302</c:v>
              </c:pt>
            </c:numLit>
          </c:xVal>
          <c:yVal>
            <c:numLit>
              <c:formatCode>General</c:formatCode>
              <c:ptCount val="1"/>
              <c:pt idx="0">
                <c:v>3.2426072027433077E-2</c:v>
              </c:pt>
            </c:numLit>
          </c:yVal>
          <c:smooth val="0"/>
          <c:extLst>
            <c:ext xmlns:c16="http://schemas.microsoft.com/office/drawing/2014/chart" uri="{C3380CC4-5D6E-409C-BE32-E72D297353CC}">
              <c16:uniqueId val="{0000002D-2155-4DFF-8C0A-E03BB7E43D67}"/>
            </c:ext>
          </c:extLst>
        </c:ser>
        <c:ser>
          <c:idx val="38"/>
          <c:order val="38"/>
          <c:spPr>
            <a:ln w="3175">
              <a:solidFill>
                <a:srgbClr val="000000"/>
              </a:solidFill>
              <a:prstDash val="solid"/>
            </a:ln>
          </c:spPr>
          <c:marker>
            <c:symbol val="none"/>
          </c:marker>
          <c:xVal>
            <c:numLit>
              <c:formatCode>General</c:formatCode>
              <c:ptCount val="2"/>
              <c:pt idx="0">
                <c:v>5.0499071430589693</c:v>
              </c:pt>
              <c:pt idx="1">
                <c:v>4.9969337246959471</c:v>
              </c:pt>
            </c:numLit>
          </c:xVal>
          <c:yVal>
            <c:numLit>
              <c:formatCode>General</c:formatCode>
              <c:ptCount val="2"/>
              <c:pt idx="0">
                <c:v>3.1122317270830653E-2</c:v>
              </c:pt>
              <c:pt idx="1">
                <c:v>3.1340724069491309E-2</c:v>
              </c:pt>
            </c:numLit>
          </c:yVal>
          <c:smooth val="0"/>
          <c:extLst>
            <c:ext xmlns:c16="http://schemas.microsoft.com/office/drawing/2014/chart" uri="{C3380CC4-5D6E-409C-BE32-E72D297353CC}">
              <c16:uniqueId val="{0000002E-2155-4DFF-8C0A-E03BB7E43D67}"/>
            </c:ext>
          </c:extLst>
        </c:ser>
        <c:ser>
          <c:idx val="39"/>
          <c:order val="39"/>
          <c:spPr>
            <a:ln w="3175">
              <a:solidFill>
                <a:srgbClr val="000000"/>
              </a:solidFill>
              <a:prstDash val="solid"/>
            </a:ln>
          </c:spPr>
          <c:marker>
            <c:symbol val="none"/>
          </c:marker>
          <c:xVal>
            <c:numLit>
              <c:formatCode>General</c:formatCode>
              <c:ptCount val="2"/>
              <c:pt idx="0">
                <c:v>4.5640932094034081</c:v>
              </c:pt>
              <c:pt idx="1">
                <c:v>4.437325775520697</c:v>
              </c:pt>
            </c:numLit>
          </c:xVal>
          <c:yVal>
            <c:numLit>
              <c:formatCode>General</c:formatCode>
              <c:ptCount val="2"/>
              <c:pt idx="0">
                <c:v>3.1051272895714872E-2</c:v>
              </c:pt>
              <c:pt idx="1">
                <c:v>3.1485041734102652E-2</c:v>
              </c:pt>
            </c:numLit>
          </c:yVal>
          <c:smooth val="0"/>
          <c:extLst>
            <c:ext xmlns:c16="http://schemas.microsoft.com/office/drawing/2014/chart" uri="{C3380CC4-5D6E-409C-BE32-E72D297353CC}">
              <c16:uniqueId val="{0000002F-2155-4DFF-8C0A-E03BB7E43D67}"/>
            </c:ext>
          </c:extLst>
        </c:ser>
        <c:ser>
          <c:idx val="40"/>
          <c:order val="40"/>
          <c:spPr>
            <a:ln w="3175">
              <a:solidFill>
                <a:srgbClr val="000000"/>
              </a:solidFill>
              <a:prstDash val="solid"/>
            </a:ln>
          </c:spPr>
          <c:marker>
            <c:symbol val="none"/>
          </c:marker>
          <c:xVal>
            <c:numLit>
              <c:formatCode>General</c:formatCode>
              <c:ptCount val="2"/>
              <c:pt idx="0">
                <c:v>4.0892088691906565</c:v>
              </c:pt>
              <c:pt idx="1">
                <c:v>4.0156490592447414</c:v>
              </c:pt>
            </c:numLit>
          </c:xVal>
          <c:yVal>
            <c:numLit>
              <c:formatCode>General</c:formatCode>
              <c:ptCount val="2"/>
              <c:pt idx="0">
                <c:v>3.0968918248820355E-2</c:v>
              </c:pt>
              <c:pt idx="1">
                <c:v>3.118403792558079E-2</c:v>
              </c:pt>
            </c:numLit>
          </c:yVal>
          <c:smooth val="0"/>
          <c:extLst>
            <c:ext xmlns:c16="http://schemas.microsoft.com/office/drawing/2014/chart" uri="{C3380CC4-5D6E-409C-BE32-E72D297353CC}">
              <c16:uniqueId val="{00000030-2155-4DFF-8C0A-E03BB7E43D67}"/>
            </c:ext>
          </c:extLst>
        </c:ser>
        <c:ser>
          <c:idx val="41"/>
          <c:order val="41"/>
          <c:spPr>
            <a:ln w="3175">
              <a:solidFill>
                <a:srgbClr val="000000"/>
              </a:solidFill>
              <a:prstDash val="solid"/>
            </a:ln>
          </c:spPr>
          <c:marker>
            <c:symbol val="none"/>
          </c:marker>
          <c:xVal>
            <c:numLit>
              <c:formatCode>General</c:formatCode>
              <c:ptCount val="2"/>
              <c:pt idx="0">
                <c:v>3.6266020041010818</c:v>
              </c:pt>
              <c:pt idx="1">
                <c:v>3.4596563757054137</c:v>
              </c:pt>
            </c:numLit>
          </c:xVal>
          <c:yVal>
            <c:numLit>
              <c:formatCode>General</c:formatCode>
              <c:ptCount val="2"/>
              <c:pt idx="0">
                <c:v>3.0876117725569325E-2</c:v>
              </c:pt>
              <c:pt idx="1">
                <c:v>3.1302379913808007E-2</c:v>
              </c:pt>
            </c:numLit>
          </c:yVal>
          <c:smooth val="0"/>
          <c:extLst>
            <c:ext xmlns:c16="http://schemas.microsoft.com/office/drawing/2014/chart" uri="{C3380CC4-5D6E-409C-BE32-E72D297353CC}">
              <c16:uniqueId val="{00000031-2155-4DFF-8C0A-E03BB7E43D67}"/>
            </c:ext>
          </c:extLst>
        </c:ser>
        <c:ser>
          <c:idx val="42"/>
          <c:order val="42"/>
          <c:spPr>
            <a:ln w="3175">
              <a:solidFill>
                <a:srgbClr val="000000"/>
              </a:solidFill>
              <a:prstDash val="solid"/>
            </a:ln>
          </c:spPr>
          <c:marker>
            <c:symbol val="none"/>
          </c:marker>
          <c:dLbls>
            <c:dLbl>
              <c:idx val="0"/>
              <c:tx>
                <c:rich>
                  <a:bodyPr rot="44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2-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3.1535893903133561</c:v>
              </c:pt>
            </c:numLit>
          </c:xVal>
          <c:yVal>
            <c:numLit>
              <c:formatCode>General</c:formatCode>
              <c:ptCount val="1"/>
              <c:pt idx="0">
                <c:v>3.2083860592245599E-2</c:v>
              </c:pt>
            </c:numLit>
          </c:yVal>
          <c:smooth val="0"/>
          <c:extLst>
            <c:ext xmlns:c16="http://schemas.microsoft.com/office/drawing/2014/chart" uri="{C3380CC4-5D6E-409C-BE32-E72D297353CC}">
              <c16:uniqueId val="{00000033-2155-4DFF-8C0A-E03BB7E43D67}"/>
            </c:ext>
          </c:extLst>
        </c:ser>
        <c:ser>
          <c:idx val="43"/>
          <c:order val="43"/>
          <c:spPr>
            <a:ln w="3175">
              <a:solidFill>
                <a:srgbClr val="000000"/>
              </a:solidFill>
              <a:prstDash val="solid"/>
            </a:ln>
          </c:spPr>
          <c:marker>
            <c:symbol val="none"/>
          </c:marker>
          <c:xVal>
            <c:numLit>
              <c:formatCode>General</c:formatCode>
              <c:ptCount val="2"/>
              <c:pt idx="0">
                <c:v>3.1774202657841126</c:v>
              </c:pt>
              <c:pt idx="1">
                <c:v>3.0843221286223432</c:v>
              </c:pt>
            </c:numLit>
          </c:xVal>
          <c:yVal>
            <c:numLit>
              <c:formatCode>General</c:formatCode>
              <c:ptCount val="2"/>
              <c:pt idx="0">
                <c:v>3.0773800028426088E-2</c:v>
              </c:pt>
              <c:pt idx="1">
                <c:v>3.0984738600463791E-2</c:v>
              </c:pt>
            </c:numLit>
          </c:yVal>
          <c:smooth val="0"/>
          <c:extLst>
            <c:ext xmlns:c16="http://schemas.microsoft.com/office/drawing/2014/chart" uri="{C3380CC4-5D6E-409C-BE32-E72D297353CC}">
              <c16:uniqueId val="{00000034-2155-4DFF-8C0A-E03BB7E43D67}"/>
            </c:ext>
          </c:extLst>
        </c:ser>
        <c:ser>
          <c:idx val="44"/>
          <c:order val="44"/>
          <c:spPr>
            <a:ln w="3175">
              <a:solidFill>
                <a:srgbClr val="000000"/>
              </a:solidFill>
              <a:prstDash val="solid"/>
            </a:ln>
          </c:spPr>
          <c:marker>
            <c:symbol val="none"/>
          </c:marker>
          <c:xVal>
            <c:numLit>
              <c:formatCode>General</c:formatCode>
              <c:ptCount val="2"/>
              <c:pt idx="0">
                <c:v>2.7426063708388666</c:v>
              </c:pt>
              <c:pt idx="1">
                <c:v>2.5377752153033892</c:v>
              </c:pt>
            </c:numLit>
          </c:xVal>
          <c:yVal>
            <c:numLit>
              <c:formatCode>General</c:formatCode>
              <c:ptCount val="2"/>
              <c:pt idx="0">
                <c:v>3.0662935204324095E-2</c:v>
              </c:pt>
              <c:pt idx="1">
                <c:v>3.1080060998795126E-2</c:v>
              </c:pt>
            </c:numLit>
          </c:yVal>
          <c:smooth val="0"/>
          <c:extLst>
            <c:ext xmlns:c16="http://schemas.microsoft.com/office/drawing/2014/chart" uri="{C3380CC4-5D6E-409C-BE32-E72D297353CC}">
              <c16:uniqueId val="{00000035-2155-4DFF-8C0A-E03BB7E43D67}"/>
            </c:ext>
          </c:extLst>
        </c:ser>
        <c:ser>
          <c:idx val="45"/>
          <c:order val="45"/>
          <c:spPr>
            <a:ln w="3175">
              <a:solidFill>
                <a:srgbClr val="000000"/>
              </a:solidFill>
              <a:prstDash val="solid"/>
            </a:ln>
          </c:spPr>
          <c:marker>
            <c:symbol val="none"/>
          </c:marker>
          <c:xVal>
            <c:numLit>
              <c:formatCode>General</c:formatCode>
              <c:ptCount val="2"/>
              <c:pt idx="0">
                <c:v>2.3228996376269366</c:v>
              </c:pt>
              <c:pt idx="1">
                <c:v>2.2114903441475136</c:v>
              </c:pt>
            </c:numLit>
          </c:xVal>
          <c:yVal>
            <c:numLit>
              <c:formatCode>General</c:formatCode>
              <c:ptCount val="2"/>
              <c:pt idx="0">
                <c:v>3.0544512802476664E-2</c:v>
              </c:pt>
              <c:pt idx="1">
                <c:v>3.0750538076815451E-2</c:v>
              </c:pt>
            </c:numLit>
          </c:yVal>
          <c:smooth val="0"/>
          <c:extLst>
            <c:ext xmlns:c16="http://schemas.microsoft.com/office/drawing/2014/chart" uri="{C3380CC4-5D6E-409C-BE32-E72D297353CC}">
              <c16:uniqueId val="{00000036-2155-4DFF-8C0A-E03BB7E43D67}"/>
            </c:ext>
          </c:extLst>
        </c:ser>
        <c:ser>
          <c:idx val="46"/>
          <c:order val="46"/>
          <c:spPr>
            <a:ln w="3175">
              <a:solidFill>
                <a:srgbClr val="000000"/>
              </a:solidFill>
              <a:prstDash val="solid"/>
            </a:ln>
          </c:spPr>
          <c:marker>
            <c:symbol val="none"/>
          </c:marker>
          <c:xVal>
            <c:numLit>
              <c:formatCode>General</c:formatCode>
              <c:ptCount val="2"/>
              <c:pt idx="0">
                <c:v>1.9188429271939578</c:v>
              </c:pt>
              <c:pt idx="1">
                <c:v>1.6787076240736989</c:v>
              </c:pt>
            </c:numLit>
          </c:xVal>
          <c:yVal>
            <c:numLit>
              <c:formatCode>General</c:formatCode>
              <c:ptCount val="2"/>
              <c:pt idx="0">
                <c:v>3.04195219111833E-2</c:v>
              </c:pt>
              <c:pt idx="1">
                <c:v>3.0826215707376869E-2</c:v>
              </c:pt>
            </c:numLit>
          </c:yVal>
          <c:smooth val="0"/>
          <c:extLst>
            <c:ext xmlns:c16="http://schemas.microsoft.com/office/drawing/2014/chart" uri="{C3380CC4-5D6E-409C-BE32-E72D297353CC}">
              <c16:uniqueId val="{00000037-2155-4DFF-8C0A-E03BB7E43D67}"/>
            </c:ext>
          </c:extLst>
        </c:ser>
        <c:ser>
          <c:idx val="47"/>
          <c:order val="47"/>
          <c:spPr>
            <a:ln w="3175">
              <a:solidFill>
                <a:srgbClr val="000000"/>
              </a:solidFill>
              <a:prstDash val="solid"/>
            </a:ln>
          </c:spPr>
          <c:marker>
            <c:symbol val="none"/>
          </c:marker>
          <c:dLbls>
            <c:dLbl>
              <c:idx val="0"/>
              <c:tx>
                <c:rich>
                  <a:bodyPr rot="3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8-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1.2384595683532245</c:v>
              </c:pt>
            </c:numLit>
          </c:xVal>
          <c:yVal>
            <c:numLit>
              <c:formatCode>General</c:formatCode>
              <c:ptCount val="1"/>
              <c:pt idx="0">
                <c:v>3.1571821000398417E-2</c:v>
              </c:pt>
            </c:numLit>
          </c:yVal>
          <c:smooth val="0"/>
          <c:extLst>
            <c:ext xmlns:c16="http://schemas.microsoft.com/office/drawing/2014/chart" uri="{C3380CC4-5D6E-409C-BE32-E72D297353CC}">
              <c16:uniqueId val="{00000039-2155-4DFF-8C0A-E03BB7E43D67}"/>
            </c:ext>
          </c:extLst>
        </c:ser>
        <c:ser>
          <c:idx val="48"/>
          <c:order val="48"/>
          <c:spPr>
            <a:ln w="3175">
              <a:solidFill>
                <a:srgbClr val="000000"/>
              </a:solidFill>
              <a:prstDash val="solid"/>
            </a:ln>
          </c:spPr>
          <c:marker>
            <c:symbol val="none"/>
          </c:marker>
          <c:xVal>
            <c:numLit>
              <c:formatCode>General</c:formatCode>
              <c:ptCount val="2"/>
              <c:pt idx="0">
                <c:v>1.5307939862731423</c:v>
              </c:pt>
              <c:pt idx="1">
                <c:v>1.4024110002647094</c:v>
              </c:pt>
            </c:numLit>
          </c:xVal>
          <c:yVal>
            <c:numLit>
              <c:formatCode>General</c:formatCode>
              <c:ptCount val="2"/>
              <c:pt idx="0">
                <c:v>3.0288933617716181E-2</c:v>
              </c:pt>
              <c:pt idx="1">
                <c:v>3.0489482195238671E-2</c:v>
              </c:pt>
            </c:numLit>
          </c:yVal>
          <c:smooth val="0"/>
          <c:extLst>
            <c:ext xmlns:c16="http://schemas.microsoft.com/office/drawing/2014/chart" uri="{C3380CC4-5D6E-409C-BE32-E72D297353CC}">
              <c16:uniqueId val="{0000003A-2155-4DFF-8C0A-E03BB7E43D67}"/>
            </c:ext>
          </c:extLst>
        </c:ser>
        <c:ser>
          <c:idx val="49"/>
          <c:order val="49"/>
          <c:spPr>
            <a:ln w="3175">
              <a:solidFill>
                <a:srgbClr val="000000"/>
              </a:solidFill>
              <a:prstDash val="solid"/>
            </a:ln>
          </c:spPr>
          <c:marker>
            <c:symbol val="none"/>
          </c:marker>
          <c:xVal>
            <c:numLit>
              <c:formatCode>General</c:formatCode>
              <c:ptCount val="2"/>
              <c:pt idx="0">
                <c:v>1.1589401224706948</c:v>
              </c:pt>
              <c:pt idx="1">
                <c:v>0.88623755629086753</c:v>
              </c:pt>
            </c:numLit>
          </c:xVal>
          <c:yVal>
            <c:numLit>
              <c:formatCode>General</c:formatCode>
              <c:ptCount val="2"/>
              <c:pt idx="0">
                <c:v>3.0153686220164965E-2</c:v>
              </c:pt>
              <c:pt idx="1">
                <c:v>3.0548987058172033E-2</c:v>
              </c:pt>
            </c:numLit>
          </c:yVal>
          <c:smooth val="0"/>
          <c:extLst>
            <c:ext xmlns:c16="http://schemas.microsoft.com/office/drawing/2014/chart" uri="{C3380CC4-5D6E-409C-BE32-E72D297353CC}">
              <c16:uniqueId val="{0000003B-2155-4DFF-8C0A-E03BB7E43D67}"/>
            </c:ext>
          </c:extLst>
        </c:ser>
        <c:ser>
          <c:idx val="50"/>
          <c:order val="50"/>
          <c:spPr>
            <a:ln w="3175">
              <a:solidFill>
                <a:srgbClr val="000000"/>
              </a:solidFill>
              <a:prstDash val="solid"/>
            </a:ln>
          </c:spPr>
          <c:marker>
            <c:symbol val="none"/>
          </c:marker>
          <c:xVal>
            <c:numLit>
              <c:formatCode>General</c:formatCode>
              <c:ptCount val="2"/>
              <c:pt idx="0">
                <c:v>0.80331515702341572</c:v>
              </c:pt>
              <c:pt idx="1">
                <c:v>0.65934333895963149</c:v>
              </c:pt>
            </c:numLit>
          </c:xVal>
          <c:yVal>
            <c:numLit>
              <c:formatCode>General</c:formatCode>
              <c:ptCount val="2"/>
              <c:pt idx="0">
                <c:v>3.0014673322626941E-2</c:v>
              </c:pt>
              <c:pt idx="1">
                <c:v>3.0209344893826089E-2</c:v>
              </c:pt>
            </c:numLit>
          </c:yVal>
          <c:smooth val="0"/>
          <c:extLst>
            <c:ext xmlns:c16="http://schemas.microsoft.com/office/drawing/2014/chart" uri="{C3380CC4-5D6E-409C-BE32-E72D297353CC}">
              <c16:uniqueId val="{0000003C-2155-4DFF-8C0A-E03BB7E43D67}"/>
            </c:ext>
          </c:extLst>
        </c:ser>
        <c:ser>
          <c:idx val="51"/>
          <c:order val="51"/>
          <c:spPr>
            <a:ln w="3175">
              <a:solidFill>
                <a:srgbClr val="000000"/>
              </a:solidFill>
              <a:prstDash val="solid"/>
            </a:ln>
          </c:spPr>
          <c:marker>
            <c:symbol val="none"/>
          </c:marker>
          <c:xVal>
            <c:numLit>
              <c:formatCode>General</c:formatCode>
              <c:ptCount val="2"/>
              <c:pt idx="0">
                <c:v>0.4638176802814884</c:v>
              </c:pt>
              <c:pt idx="1">
                <c:v>0.1613241522935524</c:v>
              </c:pt>
            </c:numLit>
          </c:xVal>
          <c:yVal>
            <c:numLit>
              <c:formatCode>General</c:formatCode>
              <c:ptCount val="2"/>
              <c:pt idx="0">
                <c:v>2.9872734777880133E-2</c:v>
              </c:pt>
              <c:pt idx="1">
                <c:v>3.0255994839789281E-2</c:v>
              </c:pt>
            </c:numLit>
          </c:yVal>
          <c:smooth val="0"/>
          <c:extLst>
            <c:ext xmlns:c16="http://schemas.microsoft.com/office/drawing/2014/chart" uri="{C3380CC4-5D6E-409C-BE32-E72D297353CC}">
              <c16:uniqueId val="{0000003D-2155-4DFF-8C0A-E03BB7E43D67}"/>
            </c:ext>
          </c:extLst>
        </c:ser>
        <c:ser>
          <c:idx val="52"/>
          <c:order val="52"/>
          <c:spPr>
            <a:ln w="3175">
              <a:solidFill>
                <a:srgbClr val="000000"/>
              </a:solidFill>
              <a:prstDash val="solid"/>
            </a:ln>
          </c:spPr>
          <c:marker>
            <c:symbol val="none"/>
          </c:marker>
          <c:dLbls>
            <c:dLbl>
              <c:idx val="0"/>
              <c:tx>
                <c:rich>
                  <a:bodyPr rot="3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-0.39324731568433041</c:v>
              </c:pt>
            </c:numLit>
          </c:xVal>
          <c:yVal>
            <c:numLit>
              <c:formatCode>General</c:formatCode>
              <c:ptCount val="1"/>
              <c:pt idx="0">
                <c:v>3.0958638286622722E-2</c:v>
              </c:pt>
            </c:numLit>
          </c:yVal>
          <c:smooth val="0"/>
          <c:extLst>
            <c:ext xmlns:c16="http://schemas.microsoft.com/office/drawing/2014/chart" uri="{C3380CC4-5D6E-409C-BE32-E72D297353CC}">
              <c16:uniqueId val="{0000003F-2155-4DFF-8C0A-E03BB7E43D67}"/>
            </c:ext>
          </c:extLst>
        </c:ser>
        <c:ser>
          <c:idx val="53"/>
          <c:order val="53"/>
          <c:spPr>
            <a:ln w="3175">
              <a:solidFill>
                <a:srgbClr val="000000"/>
              </a:solidFill>
              <a:prstDash val="solid"/>
            </a:ln>
          </c:spPr>
          <c:marker>
            <c:symbol val="none"/>
          </c:marker>
          <c:xVal>
            <c:numLit>
              <c:formatCode>General</c:formatCode>
              <c:ptCount val="2"/>
              <c:pt idx="0">
                <c:v>0.14022975872621024</c:v>
              </c:pt>
              <c:pt idx="1">
                <c:v>-1.7951032158228471E-2</c:v>
              </c:pt>
            </c:numLit>
          </c:xVal>
          <c:yVal>
            <c:numLit>
              <c:formatCode>General</c:formatCode>
              <c:ptCount val="2"/>
              <c:pt idx="0">
                <c:v>2.9728650311281322E-2</c:v>
              </c:pt>
              <c:pt idx="1">
                <c:v>2.9917192817951636E-2</c:v>
              </c:pt>
            </c:numLit>
          </c:yVal>
          <c:smooth val="0"/>
          <c:extLst>
            <c:ext xmlns:c16="http://schemas.microsoft.com/office/drawing/2014/chart" uri="{C3380CC4-5D6E-409C-BE32-E72D297353CC}">
              <c16:uniqueId val="{00000040-2155-4DFF-8C0A-E03BB7E43D67}"/>
            </c:ext>
          </c:extLst>
        </c:ser>
        <c:ser>
          <c:idx val="54"/>
          <c:order val="54"/>
          <c:spPr>
            <a:ln w="3175">
              <a:solidFill>
                <a:srgbClr val="000000"/>
              </a:solidFill>
              <a:prstDash val="solid"/>
            </a:ln>
          </c:spPr>
          <c:marker>
            <c:symbol val="none"/>
          </c:marker>
          <c:xVal>
            <c:numLit>
              <c:formatCode>General</c:formatCode>
              <c:ptCount val="2"/>
              <c:pt idx="0">
                <c:v>-0.16776460974090424</c:v>
              </c:pt>
              <c:pt idx="1">
                <c:v>-0.49732595015837133</c:v>
              </c:pt>
            </c:numLit>
          </c:xVal>
          <c:yVal>
            <c:numLit>
              <c:formatCode>General</c:formatCode>
              <c:ptCount val="2"/>
              <c:pt idx="0">
                <c:v>2.95831355675608E-2</c:v>
              </c:pt>
              <c:pt idx="1">
                <c:v>2.9953984234741979E-2</c:v>
              </c:pt>
            </c:numLit>
          </c:yVal>
          <c:smooth val="0"/>
          <c:extLst>
            <c:ext xmlns:c16="http://schemas.microsoft.com/office/drawing/2014/chart" uri="{C3380CC4-5D6E-409C-BE32-E72D297353CC}">
              <c16:uniqueId val="{00000041-2155-4DFF-8C0A-E03BB7E43D67}"/>
            </c:ext>
          </c:extLst>
        </c:ser>
        <c:ser>
          <c:idx val="55"/>
          <c:order val="55"/>
          <c:spPr>
            <a:ln w="3175">
              <a:solidFill>
                <a:srgbClr val="000000"/>
              </a:solidFill>
              <a:prstDash val="solid"/>
            </a:ln>
          </c:spPr>
          <c:marker>
            <c:symbol val="none"/>
          </c:marker>
          <c:xVal>
            <c:numLit>
              <c:formatCode>General</c:formatCode>
              <c:ptCount val="2"/>
              <c:pt idx="0">
                <c:v>-0.46056184007219381</c:v>
              </c:pt>
              <c:pt idx="1">
                <c:v>-0.63161673664516982</c:v>
              </c:pt>
            </c:numLit>
          </c:xVal>
          <c:yVal>
            <c:numLit>
              <c:formatCode>General</c:formatCode>
              <c:ptCount val="2"/>
              <c:pt idx="0">
                <c:v>2.9436840266009144E-2</c:v>
              </c:pt>
              <c:pt idx="1">
                <c:v>2.9619129700280768E-2</c:v>
              </c:pt>
            </c:numLit>
          </c:yVal>
          <c:smooth val="0"/>
          <c:extLst>
            <c:ext xmlns:c16="http://schemas.microsoft.com/office/drawing/2014/chart" uri="{C3380CC4-5D6E-409C-BE32-E72D297353CC}">
              <c16:uniqueId val="{00000042-2155-4DFF-8C0A-E03BB7E43D67}"/>
            </c:ext>
          </c:extLst>
        </c:ser>
        <c:ser>
          <c:idx val="56"/>
          <c:order val="56"/>
          <c:spPr>
            <a:ln w="3175">
              <a:solidFill>
                <a:srgbClr val="000000"/>
              </a:solidFill>
              <a:prstDash val="solid"/>
            </a:ln>
          </c:spPr>
          <c:marker>
            <c:symbol val="none"/>
          </c:marker>
          <c:xVal>
            <c:numLit>
              <c:formatCode>General</c:formatCode>
              <c:ptCount val="2"/>
              <c:pt idx="0">
                <c:v>-0.73862230174342836</c:v>
              </c:pt>
              <c:pt idx="1">
                <c:v>-1.0926489718181465</c:v>
              </c:pt>
            </c:numLit>
          </c:xVal>
          <c:yVal>
            <c:numLit>
              <c:formatCode>General</c:formatCode>
              <c:ptCount val="2"/>
              <c:pt idx="0">
                <c:v>2.9290348124299693E-2</c:v>
              </c:pt>
              <c:pt idx="1">
                <c:v>2.9648648758198254E-2</c:v>
              </c:pt>
            </c:numLit>
          </c:yVal>
          <c:smooth val="0"/>
          <c:extLst>
            <c:ext xmlns:c16="http://schemas.microsoft.com/office/drawing/2014/chart" uri="{C3380CC4-5D6E-409C-BE32-E72D297353CC}">
              <c16:uniqueId val="{00000043-2155-4DFF-8C0A-E03BB7E43D67}"/>
            </c:ext>
          </c:extLst>
        </c:ser>
        <c:ser>
          <c:idx val="57"/>
          <c:order val="57"/>
          <c:spPr>
            <a:ln w="3175">
              <a:solidFill>
                <a:srgbClr val="000000"/>
              </a:solidFill>
              <a:prstDash val="solid"/>
            </a:ln>
          </c:spPr>
          <c:marker>
            <c:symbol val="none"/>
          </c:marker>
          <c:dLbls>
            <c:dLbl>
              <c:idx val="0"/>
              <c:tx>
                <c:rich>
                  <a:bodyPr rot="32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1600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4-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-1.74169786695513</c:v>
              </c:pt>
            </c:numLit>
          </c:xVal>
          <c:yVal>
            <c:numLit>
              <c:formatCode>General</c:formatCode>
              <c:ptCount val="1"/>
              <c:pt idx="0">
                <c:v>3.0305533253678942E-2</c:v>
              </c:pt>
            </c:numLit>
          </c:yVal>
          <c:smooth val="0"/>
          <c:extLst>
            <c:ext xmlns:c16="http://schemas.microsoft.com/office/drawing/2014/chart" uri="{C3380CC4-5D6E-409C-BE32-E72D297353CC}">
              <c16:uniqueId val="{00000045-2155-4DFF-8C0A-E03BB7E43D67}"/>
            </c:ext>
          </c:extLst>
        </c:ser>
        <c:ser>
          <c:idx val="58"/>
          <c:order val="58"/>
          <c:spPr>
            <a:ln w="3175">
              <a:solidFill>
                <a:srgbClr val="000000"/>
              </a:solidFill>
              <a:prstDash val="solid"/>
            </a:ln>
          </c:spPr>
          <c:marker>
            <c:symbol val="none"/>
          </c:marker>
          <c:xVal>
            <c:numLit>
              <c:formatCode>General</c:formatCode>
              <c:ptCount val="2"/>
              <c:pt idx="0">
                <c:v>-1.002455319966258</c:v>
              </c:pt>
              <c:pt idx="1">
                <c:v>-1.1851222196798212</c:v>
              </c:pt>
            </c:numLit>
          </c:xVal>
          <c:yVal>
            <c:numLit>
              <c:formatCode>General</c:formatCode>
              <c:ptCount val="2"/>
              <c:pt idx="0">
                <c:v>2.9144178210618831E-2</c:v>
              </c:pt>
              <c:pt idx="1">
                <c:v>2.932019631513209E-2</c:v>
              </c:pt>
            </c:numLit>
          </c:yVal>
          <c:smooth val="0"/>
          <c:extLst>
            <c:ext xmlns:c16="http://schemas.microsoft.com/office/drawing/2014/chart" uri="{C3380CC4-5D6E-409C-BE32-E72D297353CC}">
              <c16:uniqueId val="{00000046-2155-4DFF-8C0A-E03BB7E43D67}"/>
            </c:ext>
          </c:extLst>
        </c:ser>
        <c:ser>
          <c:idx val="59"/>
          <c:order val="59"/>
          <c:spPr>
            <a:ln w="3175">
              <a:solidFill>
                <a:srgbClr val="000000"/>
              </a:solidFill>
              <a:prstDash val="solid"/>
            </a:ln>
          </c:spPr>
          <c:marker>
            <c:symbol val="none"/>
          </c:marker>
          <c:xVal>
            <c:numLit>
              <c:formatCode>General</c:formatCode>
              <c:ptCount val="2"/>
              <c:pt idx="0">
                <c:v>-1.2526057824083219</c:v>
              </c:pt>
              <c:pt idx="1">
                <c:v>-1.6286603159401067</c:v>
              </c:pt>
            </c:numLit>
          </c:xVal>
          <c:yVal>
            <c:numLit>
              <c:formatCode>General</c:formatCode>
              <c:ptCount val="2"/>
              <c:pt idx="0">
                <c:v>2.8998787401373648E-2</c:v>
              </c:pt>
              <c:pt idx="1">
                <c:v>2.9344592575718233E-2</c:v>
              </c:pt>
            </c:numLit>
          </c:yVal>
          <c:smooth val="0"/>
          <c:extLst>
            <c:ext xmlns:c16="http://schemas.microsoft.com/office/drawing/2014/chart" uri="{C3380CC4-5D6E-409C-BE32-E72D297353CC}">
              <c16:uniqueId val="{00000047-2155-4DFF-8C0A-E03BB7E43D67}"/>
            </c:ext>
          </c:extLst>
        </c:ser>
        <c:ser>
          <c:idx val="60"/>
          <c:order val="60"/>
          <c:spPr>
            <a:ln w="3175">
              <a:solidFill>
                <a:srgbClr val="000000"/>
              </a:solidFill>
              <a:prstDash val="solid"/>
            </a:ln>
          </c:spPr>
          <c:marker>
            <c:symbol val="none"/>
          </c:marker>
          <c:xVal>
            <c:numLit>
              <c:formatCode>General</c:formatCode>
              <c:ptCount val="2"/>
              <c:pt idx="0">
                <c:v>-1.4896424028400646</c:v>
              </c:pt>
              <c:pt idx="1">
                <c:v>-1.6827490257580664</c:v>
              </c:pt>
            </c:numLit>
          </c:xVal>
          <c:yVal>
            <c:numLit>
              <c:formatCode>General</c:formatCode>
              <c:ptCount val="2"/>
              <c:pt idx="0">
                <c:v>2.8854573651448525E-2</c:v>
              </c:pt>
              <c:pt idx="1">
                <c:v>2.9024385943979564E-2</c:v>
              </c:pt>
            </c:numLit>
          </c:yVal>
          <c:smooth val="0"/>
          <c:extLst>
            <c:ext xmlns:c16="http://schemas.microsoft.com/office/drawing/2014/chart" uri="{C3380CC4-5D6E-409C-BE32-E72D297353CC}">
              <c16:uniqueId val="{00000048-2155-4DFF-8C0A-E03BB7E43D67}"/>
            </c:ext>
          </c:extLst>
        </c:ser>
        <c:ser>
          <c:idx val="61"/>
          <c:order val="61"/>
          <c:spPr>
            <a:ln w="3175">
              <a:solidFill>
                <a:srgbClr val="000000"/>
              </a:solidFill>
              <a:prstDash val="solid"/>
            </a:ln>
          </c:spPr>
          <c:marker>
            <c:symbol val="none"/>
          </c:marker>
          <c:xVal>
            <c:numLit>
              <c:formatCode>General</c:formatCode>
              <c:ptCount val="2"/>
              <c:pt idx="0">
                <c:v>-1.7141476200677335</c:v>
              </c:pt>
              <c:pt idx="1">
                <c:v>-2.1099825180706362</c:v>
              </c:pt>
            </c:numLit>
          </c:xVal>
          <c:yVal>
            <c:numLit>
              <c:formatCode>General</c:formatCode>
              <c:ptCount val="2"/>
              <c:pt idx="0">
                <c:v>2.8711879820593082E-2</c:v>
              </c:pt>
              <c:pt idx="1">
                <c:v>2.9045388955761357E-2</c:v>
              </c:pt>
            </c:numLit>
          </c:yVal>
          <c:smooth val="0"/>
          <c:extLst>
            <c:ext xmlns:c16="http://schemas.microsoft.com/office/drawing/2014/chart" uri="{C3380CC4-5D6E-409C-BE32-E72D297353CC}">
              <c16:uniqueId val="{00000049-2155-4DFF-8C0A-E03BB7E43D67}"/>
            </c:ext>
          </c:extLst>
        </c:ser>
        <c:ser>
          <c:idx val="62"/>
          <c:order val="62"/>
          <c:spPr>
            <a:ln w="3175">
              <a:solidFill>
                <a:srgbClr val="000000"/>
              </a:solidFill>
              <a:prstDash val="solid"/>
            </a:ln>
          </c:spPr>
          <c:marker>
            <c:symbol val="none"/>
          </c:marker>
          <c:dLbls>
            <c:dLbl>
              <c:idx val="0"/>
              <c:tx>
                <c:rich>
                  <a:bodyPr rot="29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1400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A-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-2.8356798310759577</c:v>
              </c:pt>
            </c:numLit>
          </c:xVal>
          <c:yVal>
            <c:numLit>
              <c:formatCode>General</c:formatCode>
              <c:ptCount val="1"/>
              <c:pt idx="0">
                <c:v>2.9656822370236528E-2</c:v>
              </c:pt>
            </c:numLit>
          </c:yVal>
          <c:smooth val="0"/>
          <c:extLst>
            <c:ext xmlns:c16="http://schemas.microsoft.com/office/drawing/2014/chart" uri="{C3380CC4-5D6E-409C-BE32-E72D297353CC}">
              <c16:uniqueId val="{0000004B-2155-4DFF-8C0A-E03BB7E43D67}"/>
            </c:ext>
          </c:extLst>
        </c:ser>
        <c:ser>
          <c:idx val="63"/>
          <c:order val="63"/>
          <c:spPr>
            <a:ln w="3175">
              <a:solidFill>
                <a:srgbClr val="000000"/>
              </a:solidFill>
              <a:prstDash val="solid"/>
            </a:ln>
          </c:spPr>
          <c:marker>
            <c:symbol val="none"/>
          </c:marker>
          <c:xVal>
            <c:numLit>
              <c:formatCode>General</c:formatCode>
              <c:ptCount val="2"/>
              <c:pt idx="0">
                <c:v>-1.9267090572547372</c:v>
              </c:pt>
              <c:pt idx="1">
                <c:v>-2.1291813941959106</c:v>
              </c:pt>
            </c:numLit>
          </c:xVal>
          <c:yVal>
            <c:numLit>
              <c:formatCode>General</c:formatCode>
              <c:ptCount val="2"/>
              <c:pt idx="0">
                <c:v>2.8570997838905359E-2</c:v>
              </c:pt>
              <c:pt idx="1">
                <c:v>2.8734733506881903E-2</c:v>
              </c:pt>
            </c:numLit>
          </c:yVal>
          <c:smooth val="0"/>
          <c:extLst>
            <c:ext xmlns:c16="http://schemas.microsoft.com/office/drawing/2014/chart" uri="{C3380CC4-5D6E-409C-BE32-E72D297353CC}">
              <c16:uniqueId val="{0000004C-2155-4DFF-8C0A-E03BB7E43D67}"/>
            </c:ext>
          </c:extLst>
        </c:ser>
        <c:ser>
          <c:idx val="64"/>
          <c:order val="64"/>
          <c:spPr>
            <a:ln w="3175">
              <a:solidFill>
                <a:srgbClr val="000000"/>
              </a:solidFill>
              <a:prstDash val="solid"/>
            </a:ln>
          </c:spPr>
          <c:marker>
            <c:symbol val="none"/>
          </c:marker>
          <c:xVal>
            <c:numLit>
              <c:formatCode>General</c:formatCode>
              <c:ptCount val="2"/>
              <c:pt idx="0">
                <c:v>-2.1279124307072412</c:v>
              </c:pt>
              <c:pt idx="1">
                <c:v>-2.5414801063089798</c:v>
              </c:pt>
            </c:numLit>
          </c:xVal>
          <c:yVal>
            <c:numLit>
              <c:formatCode>General</c:formatCode>
              <c:ptCount val="2"/>
              <c:pt idx="0">
                <c:v>2.8432173033455556E-2</c:v>
              </c:pt>
              <c:pt idx="1">
                <c:v>2.8753694734889368E-2</c:v>
              </c:pt>
            </c:numLit>
          </c:yVal>
          <c:smooth val="0"/>
          <c:extLst>
            <c:ext xmlns:c16="http://schemas.microsoft.com/office/drawing/2014/chart" uri="{C3380CC4-5D6E-409C-BE32-E72D297353CC}">
              <c16:uniqueId val="{0000004D-2155-4DFF-8C0A-E03BB7E43D67}"/>
            </c:ext>
          </c:extLst>
        </c:ser>
        <c:ser>
          <c:idx val="65"/>
          <c:order val="65"/>
          <c:spPr>
            <a:ln w="3175">
              <a:solidFill>
                <a:srgbClr val="000000"/>
              </a:solidFill>
              <a:prstDash val="solid"/>
            </a:ln>
          </c:spPr>
          <c:marker>
            <c:symbol val="none"/>
          </c:marker>
          <c:xVal>
            <c:numLit>
              <c:formatCode>General</c:formatCode>
              <c:ptCount val="2"/>
              <c:pt idx="0">
                <c:v>-2.3183357754510565</c:v>
              </c:pt>
              <c:pt idx="1">
                <c:v>-2.529200113496437</c:v>
              </c:pt>
            </c:numLit>
          </c:xVal>
          <c:yVal>
            <c:numLit>
              <c:formatCode>General</c:formatCode>
              <c:ptCount val="2"/>
              <c:pt idx="0">
                <c:v>2.8295608474779587E-2</c:v>
              </c:pt>
              <c:pt idx="1">
                <c:v>2.8453442942096292E-2</c:v>
              </c:pt>
            </c:numLit>
          </c:yVal>
          <c:smooth val="0"/>
          <c:extLst>
            <c:ext xmlns:c16="http://schemas.microsoft.com/office/drawing/2014/chart" uri="{C3380CC4-5D6E-409C-BE32-E72D297353CC}">
              <c16:uniqueId val="{0000004E-2155-4DFF-8C0A-E03BB7E43D67}"/>
            </c:ext>
          </c:extLst>
        </c:ser>
        <c:ser>
          <c:idx val="66"/>
          <c:order val="66"/>
          <c:spPr>
            <a:ln w="3175">
              <a:solidFill>
                <a:srgbClr val="000000"/>
              </a:solidFill>
              <a:prstDash val="solid"/>
            </a:ln>
          </c:spPr>
          <c:marker>
            <c:symbol val="none"/>
          </c:marker>
          <c:xVal>
            <c:numLit>
              <c:formatCode>General</c:formatCode>
              <c:ptCount val="2"/>
              <c:pt idx="0">
                <c:v>-2.4985448444866902</c:v>
              </c:pt>
              <c:pt idx="1">
                <c:v>-2.9279967663932625</c:v>
              </c:pt>
            </c:numLit>
          </c:xVal>
          <c:yVal>
            <c:numLit>
              <c:formatCode>General</c:formatCode>
              <c:ptCount val="2"/>
              <c:pt idx="0">
                <c:v>2.8161469234973899E-2</c:v>
              </c:pt>
              <c:pt idx="1">
                <c:v>2.8471389345044212E-2</c:v>
              </c:pt>
            </c:numLit>
          </c:yVal>
          <c:smooth val="0"/>
          <c:extLst>
            <c:ext xmlns:c16="http://schemas.microsoft.com/office/drawing/2014/chart" uri="{C3380CC4-5D6E-409C-BE32-E72D297353CC}">
              <c16:uniqueId val="{0000004F-2155-4DFF-8C0A-E03BB7E43D67}"/>
            </c:ext>
          </c:extLst>
        </c:ser>
        <c:ser>
          <c:idx val="67"/>
          <c:order val="67"/>
          <c:spPr>
            <a:ln w="3175">
              <a:solidFill>
                <a:srgbClr val="000000"/>
              </a:solidFill>
              <a:prstDash val="solid"/>
            </a:ln>
          </c:spPr>
          <c:marker>
            <c:symbol val="none"/>
          </c:marker>
          <c:dLbls>
            <c:dLbl>
              <c:idx val="0"/>
              <c:tx>
                <c:rich>
                  <a:bodyPr rot="26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0-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-3.7153252898886451</c:v>
              </c:pt>
            </c:numLit>
          </c:xVal>
          <c:yVal>
            <c:numLit>
              <c:formatCode>General</c:formatCode>
              <c:ptCount val="1"/>
              <c:pt idx="0">
                <c:v>2.9039576213506446E-2</c:v>
              </c:pt>
            </c:numLit>
          </c:yVal>
          <c:smooth val="0"/>
          <c:extLst>
            <c:ext xmlns:c16="http://schemas.microsoft.com/office/drawing/2014/chart" uri="{C3380CC4-5D6E-409C-BE32-E72D297353CC}">
              <c16:uniqueId val="{00000051-2155-4DFF-8C0A-E03BB7E43D67}"/>
            </c:ext>
          </c:extLst>
        </c:ser>
        <c:ser>
          <c:idx val="68"/>
          <c:order val="68"/>
          <c:spPr>
            <a:ln w="3175">
              <a:solidFill>
                <a:srgbClr val="000000"/>
              </a:solidFill>
              <a:prstDash val="solid"/>
            </a:ln>
          </c:spPr>
          <c:marker>
            <c:symbol val="none"/>
          </c:marker>
          <c:xVal>
            <c:numLit>
              <c:formatCode>General</c:formatCode>
              <c:ptCount val="2"/>
              <c:pt idx="0">
                <c:v>-2.669089536724063</c:v>
              </c:pt>
              <c:pt idx="1">
                <c:v>-2.8874700267967222</c:v>
              </c:pt>
            </c:numLit>
          </c:xVal>
          <c:yVal>
            <c:numLit>
              <c:formatCode>General</c:formatCode>
              <c:ptCount val="2"/>
              <c:pt idx="0">
                <c:v>2.8029886477800841E-2</c:v>
              </c:pt>
              <c:pt idx="1">
                <c:v>2.8182026902325148E-2</c:v>
              </c:pt>
            </c:numLit>
          </c:yVal>
          <c:smooth val="0"/>
          <c:extLst>
            <c:ext xmlns:c16="http://schemas.microsoft.com/office/drawing/2014/chart" uri="{C3380CC4-5D6E-409C-BE32-E72D297353CC}">
              <c16:uniqueId val="{00000052-2155-4DFF-8C0A-E03BB7E43D67}"/>
            </c:ext>
          </c:extLst>
        </c:ser>
        <c:ser>
          <c:idx val="69"/>
          <c:order val="69"/>
          <c:spPr>
            <a:ln w="3175">
              <a:solidFill>
                <a:srgbClr val="000000"/>
              </a:solidFill>
              <a:prstDash val="solid"/>
            </a:ln>
          </c:spPr>
          <c:marker>
            <c:symbol val="none"/>
          </c:marker>
          <c:xVal>
            <c:numLit>
              <c:formatCode>General</c:formatCode>
              <c:ptCount val="2"/>
              <c:pt idx="0">
                <c:v>-2.8305012128620142</c:v>
              </c:pt>
              <c:pt idx="1">
                <c:v>-3.274179836270386</c:v>
              </c:pt>
            </c:numLit>
          </c:xVal>
          <c:yVal>
            <c:numLit>
              <c:formatCode>General</c:formatCode>
              <c:ptCount val="2"/>
              <c:pt idx="0">
                <c:v>2.7900961325394373E-2</c:v>
              </c:pt>
              <c:pt idx="1">
                <c:v>2.8199716810768417E-2</c:v>
              </c:pt>
            </c:numLit>
          </c:yVal>
          <c:smooth val="0"/>
          <c:extLst>
            <c:ext xmlns:c16="http://schemas.microsoft.com/office/drawing/2014/chart" uri="{C3380CC4-5D6E-409C-BE32-E72D297353CC}">
              <c16:uniqueId val="{00000053-2155-4DFF-8C0A-E03BB7E43D67}"/>
            </c:ext>
          </c:extLst>
        </c:ser>
        <c:ser>
          <c:idx val="70"/>
          <c:order val="70"/>
          <c:spPr>
            <a:ln w="3175">
              <a:solidFill>
                <a:srgbClr val="000000"/>
              </a:solidFill>
              <a:prstDash val="solid"/>
            </a:ln>
          </c:spPr>
          <c:marker>
            <c:symbol val="none"/>
          </c:marker>
          <c:xVal>
            <c:numLit>
              <c:formatCode>General</c:formatCode>
              <c:ptCount val="2"/>
              <c:pt idx="0">
                <c:v>-2.9832907668862556</c:v>
              </c:pt>
              <c:pt idx="1">
                <c:v>-3.20840414046239</c:v>
              </c:pt>
            </c:numLit>
          </c:xVal>
          <c:yVal>
            <c:numLit>
              <c:formatCode>General</c:formatCode>
              <c:ptCount val="2"/>
              <c:pt idx="0">
                <c:v>2.777476846598936E-2</c:v>
              </c:pt>
              <c:pt idx="1">
                <c:v>2.7921442075974846E-2</c:v>
              </c:pt>
            </c:numLit>
          </c:yVal>
          <c:smooth val="0"/>
          <c:extLst>
            <c:ext xmlns:c16="http://schemas.microsoft.com/office/drawing/2014/chart" uri="{C3380CC4-5D6E-409C-BE32-E72D297353CC}">
              <c16:uniqueId val="{00000054-2155-4DFF-8C0A-E03BB7E43D67}"/>
            </c:ext>
          </c:extLst>
        </c:ser>
        <c:ser>
          <c:idx val="71"/>
          <c:order val="71"/>
          <c:spPr>
            <a:ln w="3175">
              <a:solidFill>
                <a:srgbClr val="000000"/>
              </a:solidFill>
              <a:prstDash val="solid"/>
            </a:ln>
          </c:spPr>
          <c:marker>
            <c:symbol val="none"/>
          </c:marker>
          <c:xVal>
            <c:numLit>
              <c:formatCode>General</c:formatCode>
              <c:ptCount val="2"/>
              <c:pt idx="0">
                <c:v>-3.1279473318097732</c:v>
              </c:pt>
              <c:pt idx="1">
                <c:v>-3.5843736460301914</c:v>
              </c:pt>
            </c:numLit>
          </c:xVal>
          <c:yVal>
            <c:numLit>
              <c:formatCode>General</c:formatCode>
              <c:ptCount val="2"/>
              <c:pt idx="0">
                <c:v>2.765135948293641E-2</c:v>
              </c:pt>
              <c:pt idx="1">
                <c:v>2.7939417746490825E-2</c:v>
              </c:pt>
            </c:numLit>
          </c:yVal>
          <c:smooth val="0"/>
          <c:extLst>
            <c:ext xmlns:c16="http://schemas.microsoft.com/office/drawing/2014/chart" uri="{C3380CC4-5D6E-409C-BE32-E72D297353CC}">
              <c16:uniqueId val="{00000055-2155-4DFF-8C0A-E03BB7E43D67}"/>
            </c:ext>
          </c:extLst>
        </c:ser>
        <c:ser>
          <c:idx val="72"/>
          <c:order val="72"/>
          <c:spPr>
            <a:ln w="3175">
              <a:solidFill>
                <a:srgbClr val="000000"/>
              </a:solidFill>
              <a:prstDash val="solid"/>
            </a:ln>
          </c:spPr>
          <c:marker>
            <c:symbol val="none"/>
          </c:marker>
          <c:dLbls>
            <c:dLbl>
              <c:idx val="0"/>
              <c:tx>
                <c:rich>
                  <a:bodyPr rot="2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6-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-4.4211552221009596</c:v>
              </c:pt>
            </c:numLit>
          </c:xVal>
          <c:yVal>
            <c:numLit>
              <c:formatCode>General</c:formatCode>
              <c:ptCount val="1"/>
              <c:pt idx="0">
                <c:v>2.8467524563007256E-2</c:v>
              </c:pt>
            </c:numLit>
          </c:yVal>
          <c:smooth val="0"/>
          <c:extLst>
            <c:ext xmlns:c16="http://schemas.microsoft.com/office/drawing/2014/chart" uri="{C3380CC4-5D6E-409C-BE32-E72D297353CC}">
              <c16:uniqueId val="{00000057-2155-4DFF-8C0A-E03BB7E43D67}"/>
            </c:ext>
          </c:extLst>
        </c:ser>
        <c:ser>
          <c:idx val="73"/>
          <c:order val="73"/>
          <c:spPr>
            <a:ln w="3175">
              <a:solidFill>
                <a:srgbClr val="000000"/>
              </a:solidFill>
              <a:prstDash val="solid"/>
            </a:ln>
          </c:spPr>
          <c:marker>
            <c:symbol val="none"/>
          </c:marker>
          <c:xVal>
            <c:numLit>
              <c:formatCode>General</c:formatCode>
              <c:ptCount val="2"/>
              <c:pt idx="0">
                <c:v>-3.3947050354255355</c:v>
              </c:pt>
              <c:pt idx="1">
                <c:v>-3.6286344290417976</c:v>
              </c:pt>
            </c:numLit>
          </c:xVal>
          <c:yVal>
            <c:numLit>
              <c:formatCode>General</c:formatCode>
              <c:ptCount val="2"/>
              <c:pt idx="0">
                <c:v>2.741300192776747E-2</c:v>
              </c:pt>
              <c:pt idx="1">
                <c:v>2.7551923397648202E-2</c:v>
              </c:pt>
            </c:numLit>
          </c:yVal>
          <c:smooth val="0"/>
          <c:extLst>
            <c:ext xmlns:c16="http://schemas.microsoft.com/office/drawing/2014/chart" uri="{C3380CC4-5D6E-409C-BE32-E72D297353CC}">
              <c16:uniqueId val="{00000058-2155-4DFF-8C0A-E03BB7E43D67}"/>
            </c:ext>
          </c:extLst>
        </c:ser>
        <c:ser>
          <c:idx val="74"/>
          <c:order val="74"/>
          <c:spPr>
            <a:ln w="3175">
              <a:solidFill>
                <a:srgbClr val="000000"/>
              </a:solidFill>
              <a:prstDash val="solid"/>
            </a:ln>
          </c:spPr>
          <c:marker>
            <c:symbol val="none"/>
          </c:marker>
          <c:xVal>
            <c:numLit>
              <c:formatCode>General</c:formatCode>
              <c:ptCount val="2"/>
              <c:pt idx="0">
                <c:v>-3.6342329977636059</c:v>
              </c:pt>
              <c:pt idx="1">
                <c:v>-3.8732951334299695</c:v>
              </c:pt>
            </c:numLit>
          </c:xVal>
          <c:yVal>
            <c:numLit>
              <c:formatCode>General</c:formatCode>
              <c:ptCount val="2"/>
              <c:pt idx="0">
                <c:v>2.7185947823718054E-2</c:v>
              </c:pt>
              <c:pt idx="1">
                <c:v>2.7320003848512013E-2</c:v>
              </c:pt>
            </c:numLit>
          </c:yVal>
          <c:smooth val="0"/>
          <c:extLst>
            <c:ext xmlns:c16="http://schemas.microsoft.com/office/drawing/2014/chart" uri="{C3380CC4-5D6E-409C-BE32-E72D297353CC}">
              <c16:uniqueId val="{00000059-2155-4DFF-8C0A-E03BB7E43D67}"/>
            </c:ext>
          </c:extLst>
        </c:ser>
        <c:ser>
          <c:idx val="75"/>
          <c:order val="75"/>
          <c:spPr>
            <a:ln w="3175">
              <a:solidFill>
                <a:srgbClr val="000000"/>
              </a:solidFill>
              <a:prstDash val="solid"/>
            </a:ln>
          </c:spPr>
          <c:marker>
            <c:symbol val="none"/>
          </c:marker>
          <c:xVal>
            <c:numLit>
              <c:formatCode>General</c:formatCode>
              <c:ptCount val="2"/>
              <c:pt idx="0">
                <c:v>-3.8496301535387389</c:v>
              </c:pt>
              <c:pt idx="1">
                <c:v>-4.0933079425431407</c:v>
              </c:pt>
            </c:numLit>
          </c:xVal>
          <c:yVal>
            <c:numLit>
              <c:formatCode>General</c:formatCode>
              <c:ptCount val="2"/>
              <c:pt idx="0">
                <c:v>2.6970052763706429E-2</c:v>
              </c:pt>
              <c:pt idx="1">
                <c:v>2.7099482465785852E-2</c:v>
              </c:pt>
            </c:numLit>
          </c:yVal>
          <c:smooth val="0"/>
          <c:extLst>
            <c:ext xmlns:c16="http://schemas.microsoft.com/office/drawing/2014/chart" uri="{C3380CC4-5D6E-409C-BE32-E72D297353CC}">
              <c16:uniqueId val="{0000005A-2155-4DFF-8C0A-E03BB7E43D67}"/>
            </c:ext>
          </c:extLst>
        </c:ser>
        <c:ser>
          <c:idx val="76"/>
          <c:order val="76"/>
          <c:spPr>
            <a:ln w="3175">
              <a:solidFill>
                <a:srgbClr val="000000"/>
              </a:solidFill>
              <a:prstDash val="solid"/>
            </a:ln>
          </c:spPr>
          <c:marker>
            <c:symbol val="none"/>
          </c:marker>
          <c:xVal>
            <c:numLit>
              <c:formatCode>General</c:formatCode>
              <c:ptCount val="2"/>
              <c:pt idx="0">
                <c:v>-4.0436530888624631</c:v>
              </c:pt>
              <c:pt idx="1">
                <c:v>-4.2914885121952313</c:v>
              </c:pt>
            </c:numLit>
          </c:xVal>
          <c:yVal>
            <c:numLit>
              <c:formatCode>General</c:formatCode>
              <c:ptCount val="2"/>
              <c:pt idx="0">
                <c:v>2.6765028589466222E-2</c:v>
              </c:pt>
              <c:pt idx="1">
                <c:v>2.6890064916383356E-2</c:v>
              </c:pt>
            </c:numLit>
          </c:yVal>
          <c:smooth val="0"/>
          <c:extLst>
            <c:ext xmlns:c16="http://schemas.microsoft.com/office/drawing/2014/chart" uri="{C3380CC4-5D6E-409C-BE32-E72D297353CC}">
              <c16:uniqueId val="{0000005B-2155-4DFF-8C0A-E03BB7E43D67}"/>
            </c:ext>
          </c:extLst>
        </c:ser>
        <c:ser>
          <c:idx val="77"/>
          <c:order val="77"/>
          <c:spPr>
            <a:ln w="3175">
              <a:solidFill>
                <a:srgbClr val="000000"/>
              </a:solidFill>
              <a:prstDash val="solid"/>
            </a:ln>
          </c:spPr>
          <c:marker>
            <c:symbol val="none"/>
          </c:marker>
          <c:xVal>
            <c:numLit>
              <c:formatCode>General</c:formatCode>
              <c:ptCount val="2"/>
              <c:pt idx="0">
                <c:v>-4.2187412428710447</c:v>
              </c:pt>
              <c:pt idx="1">
                <c:v>-4.7219158675655173</c:v>
              </c:pt>
            </c:numLit>
          </c:xVal>
          <c:yVal>
            <c:numLit>
              <c:formatCode>General</c:formatCode>
              <c:ptCount val="2"/>
              <c:pt idx="0">
                <c:v>2.6570489823461451E-2</c:v>
              </c:pt>
              <c:pt idx="1">
                <c:v>2.6812225101609799E-2</c:v>
              </c:pt>
            </c:numLit>
          </c:yVal>
          <c:smooth val="0"/>
          <c:extLst>
            <c:ext xmlns:c16="http://schemas.microsoft.com/office/drawing/2014/chart" uri="{C3380CC4-5D6E-409C-BE32-E72D297353CC}">
              <c16:uniqueId val="{0000005C-2155-4DFF-8C0A-E03BB7E43D67}"/>
            </c:ext>
          </c:extLst>
        </c:ser>
        <c:ser>
          <c:idx val="78"/>
          <c:order val="78"/>
          <c:spPr>
            <a:ln w="3175">
              <a:solidFill>
                <a:srgbClr val="000000"/>
              </a:solidFill>
              <a:prstDash val="solid"/>
            </a:ln>
          </c:spPr>
          <c:marker>
            <c:symbol val="none"/>
          </c:marker>
          <c:dLbls>
            <c:dLbl>
              <c:idx val="0"/>
              <c:tx>
                <c:rich>
                  <a:bodyPr rot="19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D-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-5.6444026795053848</c:v>
              </c:pt>
            </c:numLit>
          </c:xVal>
          <c:yVal>
            <c:numLit>
              <c:formatCode>General</c:formatCode>
              <c:ptCount val="1"/>
              <c:pt idx="0">
                <c:v>2.725540644488177E-2</c:v>
              </c:pt>
            </c:numLit>
          </c:yVal>
          <c:smooth val="0"/>
          <c:extLst>
            <c:ext xmlns:c16="http://schemas.microsoft.com/office/drawing/2014/chart" uri="{C3380CC4-5D6E-409C-BE32-E72D297353CC}">
              <c16:uniqueId val="{0000005E-2155-4DFF-8C0A-E03BB7E43D67}"/>
            </c:ext>
          </c:extLst>
        </c:ser>
        <c:ser>
          <c:idx val="79"/>
          <c:order val="79"/>
          <c:spPr>
            <a:ln w="3175">
              <a:solidFill>
                <a:srgbClr val="000000"/>
              </a:solidFill>
              <a:prstDash val="solid"/>
            </a:ln>
          </c:spPr>
          <c:marker>
            <c:symbol val="none"/>
          </c:marker>
          <c:xVal>
            <c:numLit>
              <c:formatCode>General</c:formatCode>
              <c:ptCount val="2"/>
              <c:pt idx="0">
                <c:v>-4.3770457171884622</c:v>
              </c:pt>
              <c:pt idx="1">
                <c:v>-4.6320252682710734</c:v>
              </c:pt>
            </c:numLit>
          </c:xVal>
          <c:yVal>
            <c:numLit>
              <c:formatCode>General</c:formatCode>
              <c:ptCount val="2"/>
              <c:pt idx="0">
                <c:v>2.6385989057197627E-2</c:v>
              </c:pt>
              <c:pt idx="1">
                <c:v>2.6502903108423292E-2</c:v>
              </c:pt>
            </c:numLit>
          </c:yVal>
          <c:smooth val="0"/>
          <c:extLst>
            <c:ext xmlns:c16="http://schemas.microsoft.com/office/drawing/2014/chart" uri="{C3380CC4-5D6E-409C-BE32-E72D297353CC}">
              <c16:uniqueId val="{0000005F-2155-4DFF-8C0A-E03BB7E43D67}"/>
            </c:ext>
          </c:extLst>
        </c:ser>
        <c:ser>
          <c:idx val="80"/>
          <c:order val="80"/>
          <c:spPr>
            <a:ln w="3175">
              <a:solidFill>
                <a:srgbClr val="000000"/>
              </a:solidFill>
              <a:prstDash val="solid"/>
            </a:ln>
          </c:spPr>
          <c:marker>
            <c:symbol val="none"/>
          </c:marker>
          <c:xVal>
            <c:numLit>
              <c:formatCode>General</c:formatCode>
              <c:ptCount val="2"/>
              <c:pt idx="0">
                <c:v>-4.5204589487479616</c:v>
              </c:pt>
              <c:pt idx="1">
                <c:v>-4.7785116405068475</c:v>
              </c:pt>
            </c:numLit>
          </c:xVal>
          <c:yVal>
            <c:numLit>
              <c:formatCode>General</c:formatCode>
              <c:ptCount val="2"/>
              <c:pt idx="0">
                <c:v>2.6211043462266981E-2</c:v>
              </c:pt>
              <c:pt idx="1">
                <c:v>2.632420867931556E-2</c:v>
              </c:pt>
            </c:numLit>
          </c:yVal>
          <c:smooth val="0"/>
          <c:extLst>
            <c:ext xmlns:c16="http://schemas.microsoft.com/office/drawing/2014/chart" uri="{C3380CC4-5D6E-409C-BE32-E72D297353CC}">
              <c16:uniqueId val="{00000060-2155-4DFF-8C0A-E03BB7E43D67}"/>
            </c:ext>
          </c:extLst>
        </c:ser>
        <c:ser>
          <c:idx val="81"/>
          <c:order val="81"/>
          <c:spPr>
            <a:ln w="3175">
              <a:solidFill>
                <a:srgbClr val="000000"/>
              </a:solidFill>
              <a:prstDash val="solid"/>
            </a:ln>
          </c:spPr>
          <c:marker>
            <c:symbol val="none"/>
          </c:marker>
          <c:xVal>
            <c:numLit>
              <c:formatCode>General</c:formatCode>
              <c:ptCount val="2"/>
              <c:pt idx="0">
                <c:v>-4.6506435459878448</c:v>
              </c:pt>
              <c:pt idx="1">
                <c:v>-4.9114859076875854</c:v>
              </c:pt>
            </c:numLit>
          </c:xVal>
          <c:yVal>
            <c:numLit>
              <c:formatCode>General</c:formatCode>
              <c:ptCount val="2"/>
              <c:pt idx="0">
                <c:v>2.6045154305456879E-2</c:v>
              </c:pt>
              <c:pt idx="1">
                <c:v>2.615476475485953E-2</c:v>
              </c:pt>
            </c:numLit>
          </c:yVal>
          <c:smooth val="0"/>
          <c:extLst>
            <c:ext xmlns:c16="http://schemas.microsoft.com/office/drawing/2014/chart" uri="{C3380CC4-5D6E-409C-BE32-E72D297353CC}">
              <c16:uniqueId val="{00000061-2155-4DFF-8C0A-E03BB7E43D67}"/>
            </c:ext>
          </c:extLst>
        </c:ser>
        <c:ser>
          <c:idx val="82"/>
          <c:order val="82"/>
          <c:spPr>
            <a:ln w="3175">
              <a:solidFill>
                <a:srgbClr val="000000"/>
              </a:solidFill>
              <a:prstDash val="solid"/>
            </a:ln>
          </c:spPr>
          <c:marker>
            <c:symbol val="none"/>
          </c:marker>
          <c:xVal>
            <c:numLit>
              <c:formatCode>General</c:formatCode>
              <c:ptCount val="2"/>
              <c:pt idx="0">
                <c:v>-4.7690593110363508</c:v>
              </c:pt>
              <c:pt idx="1">
                <c:v>-5.0324391534157025</c:v>
              </c:pt>
            </c:numLit>
          </c:xVal>
          <c:yVal>
            <c:numLit>
              <c:formatCode>General</c:formatCode>
              <c:ptCount val="2"/>
              <c:pt idx="0">
                <c:v>2.5887821037250434E-2</c:v>
              </c:pt>
              <c:pt idx="1">
                <c:v>2.5994060059477228E-2</c:v>
              </c:pt>
            </c:numLit>
          </c:yVal>
          <c:smooth val="0"/>
          <c:extLst>
            <c:ext xmlns:c16="http://schemas.microsoft.com/office/drawing/2014/chart" uri="{C3380CC4-5D6E-409C-BE32-E72D297353CC}">
              <c16:uniqueId val="{00000062-2155-4DFF-8C0A-E03BB7E43D67}"/>
            </c:ext>
          </c:extLst>
        </c:ser>
        <c:ser>
          <c:idx val="83"/>
          <c:order val="83"/>
          <c:spPr>
            <a:ln w="3175">
              <a:solidFill>
                <a:srgbClr val="000000"/>
              </a:solidFill>
              <a:prstDash val="solid"/>
            </a:ln>
          </c:spPr>
          <c:marker>
            <c:symbol val="none"/>
          </c:marker>
          <c:xVal>
            <c:numLit>
              <c:formatCode>General</c:formatCode>
              <c:ptCount val="2"/>
              <c:pt idx="0">
                <c:v>-4.8769879543111792</c:v>
              </c:pt>
              <c:pt idx="1">
                <c:v>-5.4083731523530867</c:v>
              </c:pt>
            </c:numLit>
          </c:xVal>
          <c:yVal>
            <c:numLit>
              <c:formatCode>General</c:formatCode>
              <c:ptCount val="2"/>
              <c:pt idx="0">
                <c:v>2.573855122669123E-2</c:v>
              </c:pt>
              <c:pt idx="1">
                <c:v>2.5944631993549423E-2</c:v>
              </c:pt>
            </c:numLit>
          </c:yVal>
          <c:smooth val="0"/>
          <c:extLst>
            <c:ext xmlns:c16="http://schemas.microsoft.com/office/drawing/2014/chart" uri="{C3380CC4-5D6E-409C-BE32-E72D297353CC}">
              <c16:uniqueId val="{00000063-2155-4DFF-8C0A-E03BB7E43D67}"/>
            </c:ext>
          </c:extLst>
        </c:ser>
        <c:ser>
          <c:idx val="84"/>
          <c:order val="84"/>
          <c:spPr>
            <a:ln w="3175">
              <a:solidFill>
                <a:srgbClr val="000000"/>
              </a:solidFill>
              <a:prstDash val="solid"/>
            </a:ln>
          </c:spPr>
          <c:marker>
            <c:symbol val="none"/>
          </c:marker>
          <c:dLbls>
            <c:dLbl>
              <c:idx val="0"/>
              <c:tx>
                <c:rich>
                  <a:bodyPr rot="16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4-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-6.3825793487632509</c:v>
              </c:pt>
            </c:numLit>
          </c:xVal>
          <c:yVal>
            <c:numLit>
              <c:formatCode>General</c:formatCode>
              <c:ptCount val="1"/>
              <c:pt idx="0">
                <c:v>2.632244673278945E-2</c:v>
              </c:pt>
            </c:numLit>
          </c:yVal>
          <c:smooth val="0"/>
          <c:extLst>
            <c:ext xmlns:c16="http://schemas.microsoft.com/office/drawing/2014/chart" uri="{C3380CC4-5D6E-409C-BE32-E72D297353CC}">
              <c16:uniqueId val="{00000065-2155-4DFF-8C0A-E03BB7E43D67}"/>
            </c:ext>
          </c:extLst>
        </c:ser>
        <c:ser>
          <c:idx val="85"/>
          <c:order val="85"/>
          <c:spPr>
            <a:ln w="3175">
              <a:solidFill>
                <a:srgbClr val="000000"/>
              </a:solidFill>
              <a:prstDash val="solid"/>
            </a:ln>
          </c:spPr>
          <c:marker>
            <c:symbol val="none"/>
          </c:marker>
          <c:xVal>
            <c:numLit>
              <c:formatCode>General</c:formatCode>
              <c:ptCount val="2"/>
              <c:pt idx="0">
                <c:v>-4.97555532075208</c:v>
              </c:pt>
              <c:pt idx="1">
                <c:v>-5.2433600776253391</c:v>
              </c:pt>
            </c:numLit>
          </c:xVal>
          <c:yVal>
            <c:numLit>
              <c:formatCode>General</c:formatCode>
              <c:ptCount val="2"/>
              <c:pt idx="0">
                <c:v>2.5596867354371416E-2</c:v>
              </c:pt>
              <c:pt idx="1">
                <c:v>2.5696871654822231E-2</c:v>
              </c:pt>
            </c:numLit>
          </c:yVal>
          <c:smooth val="0"/>
          <c:extLst>
            <c:ext xmlns:c16="http://schemas.microsoft.com/office/drawing/2014/chart" uri="{C3380CC4-5D6E-409C-BE32-E72D297353CC}">
              <c16:uniqueId val="{00000066-2155-4DFF-8C0A-E03BB7E43D67}"/>
            </c:ext>
          </c:extLst>
        </c:ser>
        <c:ser>
          <c:idx val="86"/>
          <c:order val="86"/>
          <c:spPr>
            <a:ln w="3175">
              <a:solidFill>
                <a:srgbClr val="000000"/>
              </a:solidFill>
              <a:prstDash val="solid"/>
            </a:ln>
          </c:spPr>
          <c:marker>
            <c:symbol val="none"/>
          </c:marker>
          <c:xVal>
            <c:numLit>
              <c:formatCode>General</c:formatCode>
              <c:ptCount val="2"/>
              <c:pt idx="0">
                <c:v>-5.0657511406962898</c:v>
              </c:pt>
              <c:pt idx="1">
                <c:v>-5.335488665139783</c:v>
              </c:pt>
            </c:numLit>
          </c:xVal>
          <c:yVal>
            <c:numLit>
              <c:formatCode>General</c:formatCode>
              <c:ptCount val="2"/>
              <c:pt idx="0">
                <c:v>2.5462311255383133E-2</c:v>
              </c:pt>
              <c:pt idx="1">
                <c:v>2.5559432210855628E-2</c:v>
              </c:pt>
            </c:numLit>
          </c:yVal>
          <c:smooth val="0"/>
          <c:extLst>
            <c:ext xmlns:c16="http://schemas.microsoft.com/office/drawing/2014/chart" uri="{C3380CC4-5D6E-409C-BE32-E72D297353CC}">
              <c16:uniqueId val="{00000067-2155-4DFF-8C0A-E03BB7E43D67}"/>
            </c:ext>
          </c:extLst>
        </c:ser>
        <c:ser>
          <c:idx val="87"/>
          <c:order val="87"/>
          <c:spPr>
            <a:ln w="3175">
              <a:solidFill>
                <a:srgbClr val="000000"/>
              </a:solidFill>
              <a:prstDash val="solid"/>
            </a:ln>
          </c:spPr>
          <c:marker>
            <c:symbol val="none"/>
          </c:marker>
          <c:xVal>
            <c:numLit>
              <c:formatCode>General</c:formatCode>
              <c:ptCount val="2"/>
              <c:pt idx="0">
                <c:v>-5.1484464315058194</c:v>
              </c:pt>
              <c:pt idx="1">
                <c:v>-5.4199559978952303</c:v>
              </c:pt>
            </c:numLit>
          </c:xVal>
          <c:yVal>
            <c:numLit>
              <c:formatCode>General</c:formatCode>
              <c:ptCount val="2"/>
              <c:pt idx="0">
                <c:v>2.5334446824497189E-2</c:v>
              </c:pt>
              <c:pt idx="1">
                <c:v>2.5428827827879273E-2</c:v>
              </c:pt>
            </c:numLit>
          </c:yVal>
          <c:smooth val="0"/>
          <c:extLst>
            <c:ext xmlns:c16="http://schemas.microsoft.com/office/drawing/2014/chart" uri="{C3380CC4-5D6E-409C-BE32-E72D297353CC}">
              <c16:uniqueId val="{00000068-2155-4DFF-8C0A-E03BB7E43D67}"/>
            </c:ext>
          </c:extLst>
        </c:ser>
        <c:ser>
          <c:idx val="88"/>
          <c:order val="88"/>
          <c:spPr>
            <a:ln w="3175">
              <a:solidFill>
                <a:srgbClr val="000000"/>
              </a:solidFill>
              <a:prstDash val="solid"/>
            </a:ln>
          </c:spPr>
          <c:marker>
            <c:symbol val="none"/>
          </c:marker>
          <c:xVal>
            <c:numLit>
              <c:formatCode>General</c:formatCode>
              <c:ptCount val="2"/>
              <c:pt idx="0">
                <c:v>-5.2244087358312541</c:v>
              </c:pt>
              <c:pt idx="1">
                <c:v>-5.497546065884781</c:v>
              </c:pt>
            </c:numLit>
          </c:xVal>
          <c:yVal>
            <c:numLit>
              <c:formatCode>General</c:formatCode>
              <c:ptCount val="2"/>
              <c:pt idx="0">
                <c:v>2.5212861452320056E-2</c:v>
              </c:pt>
              <c:pt idx="1">
                <c:v>2.530463705486977E-2</c:v>
              </c:pt>
            </c:numLit>
          </c:yVal>
          <c:smooth val="0"/>
          <c:extLst>
            <c:ext xmlns:c16="http://schemas.microsoft.com/office/drawing/2014/chart" uri="{C3380CC4-5D6E-409C-BE32-E72D297353CC}">
              <c16:uniqueId val="{00000069-2155-4DFF-8C0A-E03BB7E43D67}"/>
            </c:ext>
          </c:extLst>
        </c:ser>
        <c:ser>
          <c:idx val="89"/>
          <c:order val="89"/>
          <c:spPr>
            <a:ln w="3175">
              <a:solidFill>
                <a:srgbClr val="000000"/>
              </a:solidFill>
              <a:prstDash val="solid"/>
            </a:ln>
          </c:spPr>
          <c:marker>
            <c:symbol val="none"/>
          </c:marker>
          <c:xVal>
            <c:numLit>
              <c:formatCode>General</c:formatCode>
              <c:ptCount val="2"/>
              <c:pt idx="0">
                <c:v>-5.2943154079273143</c:v>
              </c:pt>
              <c:pt idx="1">
                <c:v>-5.8435860682670562</c:v>
              </c:pt>
            </c:numLit>
          </c:xVal>
          <c:yVal>
            <c:numLit>
              <c:formatCode>General</c:formatCode>
              <c:ptCount val="2"/>
              <c:pt idx="0">
                <c:v>2.5097166548278888E-2</c:v>
              </c:pt>
              <c:pt idx="1">
                <c:v>2.5275759400347982E-2</c:v>
              </c:pt>
            </c:numLit>
          </c:yVal>
          <c:smooth val="0"/>
          <c:extLst>
            <c:ext xmlns:c16="http://schemas.microsoft.com/office/drawing/2014/chart" uri="{C3380CC4-5D6E-409C-BE32-E72D297353CC}">
              <c16:uniqueId val="{0000006A-2155-4DFF-8C0A-E03BB7E43D67}"/>
            </c:ext>
          </c:extLst>
        </c:ser>
        <c:ser>
          <c:idx val="90"/>
          <c:order val="90"/>
          <c:spPr>
            <a:ln w="3175">
              <a:solidFill>
                <a:srgbClr val="000000"/>
              </a:solidFill>
              <a:prstDash val="solid"/>
            </a:ln>
          </c:spPr>
          <c:marker>
            <c:symbol val="none"/>
          </c:marker>
          <c:dLbls>
            <c:dLbl>
              <c:idx val="0"/>
              <c:tx>
                <c:rich>
                  <a:bodyPr rot="14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B-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-6.8505822788899158</c:v>
              </c:pt>
            </c:numLit>
          </c:xVal>
          <c:yVal>
            <c:numLit>
              <c:formatCode>General</c:formatCode>
              <c:ptCount val="1"/>
              <c:pt idx="0">
                <c:v>2.5603179629141326E-2</c:v>
              </c:pt>
            </c:numLit>
          </c:yVal>
          <c:smooth val="0"/>
          <c:extLst>
            <c:ext xmlns:c16="http://schemas.microsoft.com/office/drawing/2014/chart" uri="{C3380CC4-5D6E-409C-BE32-E72D297353CC}">
              <c16:uniqueId val="{0000006C-2155-4DFF-8C0A-E03BB7E43D67}"/>
            </c:ext>
          </c:extLst>
        </c:ser>
        <c:ser>
          <c:idx val="91"/>
          <c:order val="91"/>
          <c:spPr>
            <a:ln w="3175">
              <a:solidFill>
                <a:srgbClr val="000000"/>
              </a:solidFill>
              <a:prstDash val="solid"/>
            </a:ln>
          </c:spPr>
          <c:marker>
            <c:symbol val="none"/>
          </c:marker>
          <c:xVal>
            <c:numLit>
              <c:formatCode>General</c:formatCode>
              <c:ptCount val="2"/>
              <c:pt idx="0">
                <c:v>-5.358765163744196</c:v>
              </c:pt>
              <c:pt idx="1">
                <c:v>-5.6347815601101443</c:v>
              </c:pt>
            </c:numLit>
          </c:xVal>
          <c:yVal>
            <c:numLit>
              <c:formatCode>General</c:formatCode>
              <c:ptCount val="2"/>
              <c:pt idx="0">
                <c:v>2.4986997418511792E-2</c:v>
              </c:pt>
              <c:pt idx="1">
                <c:v>2.5073933077479904E-2</c:v>
              </c:pt>
            </c:numLit>
          </c:yVal>
          <c:smooth val="0"/>
          <c:extLst>
            <c:ext xmlns:c16="http://schemas.microsoft.com/office/drawing/2014/chart" uri="{C3380CC4-5D6E-409C-BE32-E72D297353CC}">
              <c16:uniqueId val="{0000006D-2155-4DFF-8C0A-E03BB7E43D67}"/>
            </c:ext>
          </c:extLst>
        </c:ser>
        <c:ser>
          <c:idx val="92"/>
          <c:order val="92"/>
          <c:spPr>
            <a:ln w="3175">
              <a:solidFill>
                <a:srgbClr val="000000"/>
              </a:solidFill>
              <a:prstDash val="solid"/>
            </a:ln>
          </c:spPr>
          <c:marker>
            <c:symbol val="none"/>
          </c:marker>
          <c:xVal>
            <c:numLit>
              <c:formatCode>General</c:formatCode>
              <c:ptCount val="2"/>
              <c:pt idx="0">
                <c:v>-5.4182881023183391</c:v>
              </c:pt>
              <c:pt idx="1">
                <c:v>-5.6955799902251618</c:v>
              </c:pt>
            </c:numLit>
          </c:xVal>
          <c:yVal>
            <c:numLit>
              <c:formatCode>General</c:formatCode>
              <c:ptCount val="2"/>
              <c:pt idx="0">
                <c:v>2.4882012699129402E-2</c:v>
              </c:pt>
              <c:pt idx="1">
                <c:v>2.4966698685539319E-2</c:v>
              </c:pt>
            </c:numLit>
          </c:yVal>
          <c:smooth val="0"/>
          <c:extLst>
            <c:ext xmlns:c16="http://schemas.microsoft.com/office/drawing/2014/chart" uri="{C3380CC4-5D6E-409C-BE32-E72D297353CC}">
              <c16:uniqueId val="{0000006E-2155-4DFF-8C0A-E03BB7E43D67}"/>
            </c:ext>
          </c:extLst>
        </c:ser>
        <c:ser>
          <c:idx val="93"/>
          <c:order val="93"/>
          <c:spPr>
            <a:ln w="3175">
              <a:solidFill>
                <a:srgbClr val="000000"/>
              </a:solidFill>
              <a:prstDash val="solid"/>
            </a:ln>
          </c:spPr>
          <c:marker>
            <c:symbol val="none"/>
          </c:marker>
          <c:xVal>
            <c:numLit>
              <c:formatCode>General</c:formatCode>
              <c:ptCount val="2"/>
              <c:pt idx="0">
                <c:v>-5.4733543909858673</c:v>
              </c:pt>
              <c:pt idx="1">
                <c:v>-5.7518262707927077</c:v>
              </c:pt>
            </c:numLit>
          </c:xVal>
          <c:yVal>
            <c:numLit>
              <c:formatCode>General</c:formatCode>
              <c:ptCount val="2"/>
              <c:pt idx="0">
                <c:v>2.4781893493615731E-2</c:v>
              </c:pt>
              <c:pt idx="1">
                <c:v>2.4864434068478925E-2</c:v>
              </c:pt>
            </c:numLit>
          </c:yVal>
          <c:smooth val="0"/>
          <c:extLst>
            <c:ext xmlns:c16="http://schemas.microsoft.com/office/drawing/2014/chart" uri="{C3380CC4-5D6E-409C-BE32-E72D297353CC}">
              <c16:uniqueId val="{0000006F-2155-4DFF-8C0A-E03BB7E43D67}"/>
            </c:ext>
          </c:extLst>
        </c:ser>
        <c:ser>
          <c:idx val="94"/>
          <c:order val="94"/>
          <c:spPr>
            <a:ln w="3175">
              <a:solidFill>
                <a:srgbClr val="000000"/>
              </a:solidFill>
              <a:prstDash val="solid"/>
            </a:ln>
          </c:spPr>
          <c:marker>
            <c:symbol val="none"/>
          </c:marker>
          <c:xVal>
            <c:numLit>
              <c:formatCode>General</c:formatCode>
              <c:ptCount val="2"/>
              <c:pt idx="0">
                <c:v>-5.5243817887928159</c:v>
              </c:pt>
              <c:pt idx="1">
                <c:v>-5.8039471128383777</c:v>
              </c:pt>
            </c:numLit>
          </c:xVal>
          <c:yVal>
            <c:numLit>
              <c:formatCode>General</c:formatCode>
              <c:ptCount val="2"/>
              <c:pt idx="0">
                <c:v>2.4686342323848191E-2</c:v>
              </c:pt>
              <c:pt idx="1">
                <c:v>2.4766835373644939E-2</c:v>
              </c:pt>
            </c:numLit>
          </c:yVal>
          <c:smooth val="0"/>
          <c:extLst>
            <c:ext xmlns:c16="http://schemas.microsoft.com/office/drawing/2014/chart" uri="{C3380CC4-5D6E-409C-BE32-E72D297353CC}">
              <c16:uniqueId val="{00000070-2155-4DFF-8C0A-E03BB7E43D67}"/>
            </c:ext>
          </c:extLst>
        </c:ser>
        <c:ser>
          <c:idx val="95"/>
          <c:order val="95"/>
          <c:spPr>
            <a:ln w="3175">
              <a:solidFill>
                <a:srgbClr val="000000"/>
              </a:solidFill>
              <a:prstDash val="solid"/>
            </a:ln>
          </c:spPr>
          <c:marker>
            <c:symbol val="none"/>
          </c:marker>
          <c:xVal>
            <c:numLit>
              <c:formatCode>General</c:formatCode>
              <c:ptCount val="2"/>
              <c:pt idx="0">
                <c:v>-5.571742163443429</c:v>
              </c:pt>
              <c:pt idx="1">
                <c:v>-5.8523223526600745</c:v>
              </c:pt>
            </c:numLit>
          </c:xVal>
          <c:yVal>
            <c:numLit>
              <c:formatCode>General</c:formatCode>
              <c:ptCount val="2"/>
              <c:pt idx="0">
                <c:v>2.4595081974519786E-2</c:v>
              </c:pt>
              <c:pt idx="1">
                <c:v>2.4673619445402351E-2</c:v>
              </c:pt>
            </c:numLit>
          </c:yVal>
          <c:smooth val="0"/>
          <c:extLst>
            <c:ext xmlns:c16="http://schemas.microsoft.com/office/drawing/2014/chart" uri="{C3380CC4-5D6E-409C-BE32-E72D297353CC}">
              <c16:uniqueId val="{00000071-2155-4DFF-8C0A-E03BB7E43D67}"/>
            </c:ext>
          </c:extLst>
        </c:ser>
        <c:ser>
          <c:idx val="96"/>
          <c:order val="96"/>
          <c:spPr>
            <a:ln w="3175">
              <a:solidFill>
                <a:srgbClr val="000000"/>
              </a:solidFill>
              <a:prstDash val="solid"/>
            </a:ln>
          </c:spPr>
          <c:marker>
            <c:symbol val="none"/>
          </c:marker>
          <c:dLbls>
            <c:dLbl>
              <c:idx val="0"/>
              <c:tx>
                <c:rich>
                  <a:bodyPr rot="12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2-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-7.1616965690044161</c:v>
              </c:pt>
            </c:numLit>
          </c:xVal>
          <c:yVal>
            <c:numLit>
              <c:formatCode>General</c:formatCode>
              <c:ptCount val="1"/>
              <c:pt idx="0">
                <c:v>2.5040127642854328E-2</c:v>
              </c:pt>
            </c:numLit>
          </c:yVal>
          <c:smooth val="0"/>
          <c:extLst>
            <c:ext xmlns:c16="http://schemas.microsoft.com/office/drawing/2014/chart" uri="{C3380CC4-5D6E-409C-BE32-E72D297353CC}">
              <c16:uniqueId val="{00000073-2155-4DFF-8C0A-E03BB7E43D67}"/>
            </c:ext>
          </c:extLst>
        </c:ser>
        <c:ser>
          <c:idx val="97"/>
          <c:order val="97"/>
          <c:spPr>
            <a:ln w="3175">
              <a:solidFill>
                <a:srgbClr val="000000"/>
              </a:solidFill>
              <a:prstDash val="solid"/>
            </a:ln>
          </c:spPr>
          <c:marker>
            <c:symbol val="none"/>
          </c:marker>
          <c:xVal>
            <c:numLit>
              <c:formatCode>General</c:formatCode>
              <c:ptCount val="2"/>
              <c:pt idx="0">
                <c:v>-5.6567529906365968</c:v>
              </c:pt>
              <c:pt idx="1">
                <c:v>-5.9391548404359531</c:v>
              </c:pt>
            </c:numLit>
          </c:xVal>
          <c:yVal>
            <c:numLit>
              <c:formatCode>General</c:formatCode>
              <c:ptCount val="2"/>
              <c:pt idx="0">
                <c:v>2.4424418953236802E-2</c:v>
              </c:pt>
              <c:pt idx="1">
                <c:v>2.4499299359377589E-2</c:v>
              </c:pt>
            </c:numLit>
          </c:yVal>
          <c:smooth val="0"/>
          <c:extLst>
            <c:ext xmlns:c16="http://schemas.microsoft.com/office/drawing/2014/chart" uri="{C3380CC4-5D6E-409C-BE32-E72D297353CC}">
              <c16:uniqueId val="{00000074-2155-4DFF-8C0A-E03BB7E43D67}"/>
            </c:ext>
          </c:extLst>
        </c:ser>
        <c:ser>
          <c:idx val="98"/>
          <c:order val="98"/>
          <c:spPr>
            <a:ln w="3175">
              <a:solidFill>
                <a:srgbClr val="000000"/>
              </a:solidFill>
              <a:prstDash val="solid"/>
            </a:ln>
          </c:spPr>
          <c:marker>
            <c:symbol val="none"/>
          </c:marker>
          <c:xVal>
            <c:numLit>
              <c:formatCode>General</c:formatCode>
              <c:ptCount val="2"/>
              <c:pt idx="0">
                <c:v>-5.7306406407761212</c:v>
              </c:pt>
              <c:pt idx="1">
                <c:v>-6.0146257973641815</c:v>
              </c:pt>
            </c:numLit>
          </c:xVal>
          <c:yVal>
            <c:numLit>
              <c:formatCode>General</c:formatCode>
              <c:ptCount val="2"/>
              <c:pt idx="0">
                <c:v>2.4268046190440859E-2</c:v>
              </c:pt>
              <c:pt idx="1">
                <c:v>2.433957575166459E-2</c:v>
              </c:pt>
            </c:numLit>
          </c:yVal>
          <c:smooth val="0"/>
          <c:extLst>
            <c:ext xmlns:c16="http://schemas.microsoft.com/office/drawing/2014/chart" uri="{C3380CC4-5D6E-409C-BE32-E72D297353CC}">
              <c16:uniqueId val="{00000075-2155-4DFF-8C0A-E03BB7E43D67}"/>
            </c:ext>
          </c:extLst>
        </c:ser>
        <c:ser>
          <c:idx val="99"/>
          <c:order val="99"/>
          <c:spPr>
            <a:ln w="3175">
              <a:solidFill>
                <a:srgbClr val="000000"/>
              </a:solidFill>
              <a:prstDash val="solid"/>
            </a:ln>
          </c:spPr>
          <c:marker>
            <c:symbol val="none"/>
          </c:marker>
          <c:xVal>
            <c:numLit>
              <c:formatCode>General</c:formatCode>
              <c:ptCount val="2"/>
              <c:pt idx="0">
                <c:v>-5.7952165720117108</c:v>
              </c:pt>
              <c:pt idx="1">
                <c:v>-6.0805854985548189</c:v>
              </c:pt>
            </c:numLit>
          </c:xVal>
          <c:yVal>
            <c:numLit>
              <c:formatCode>General</c:formatCode>
              <c:ptCount val="2"/>
              <c:pt idx="0">
                <c:v>2.4124353808164946E-2</c:v>
              </c:pt>
              <c:pt idx="1">
                <c:v>2.4192804246911337E-2</c:v>
              </c:pt>
            </c:numLit>
          </c:yVal>
          <c:smooth val="0"/>
          <c:extLst>
            <c:ext xmlns:c16="http://schemas.microsoft.com/office/drawing/2014/chart" uri="{C3380CC4-5D6E-409C-BE32-E72D297353CC}">
              <c16:uniqueId val="{00000076-2155-4DFF-8C0A-E03BB7E43D67}"/>
            </c:ext>
          </c:extLst>
        </c:ser>
        <c:ser>
          <c:idx val="100"/>
          <c:order val="100"/>
          <c:spPr>
            <a:ln w="3175">
              <a:solidFill>
                <a:srgbClr val="000000"/>
              </a:solidFill>
              <a:prstDash val="solid"/>
            </a:ln>
          </c:spPr>
          <c:marker>
            <c:symbol val="none"/>
          </c:marker>
          <c:xVal>
            <c:numLit>
              <c:formatCode>General</c:formatCode>
              <c:ptCount val="2"/>
              <c:pt idx="0">
                <c:v>-5.851947118469381</c:v>
              </c:pt>
              <c:pt idx="1">
                <c:v>-6.1385316995794392</c:v>
              </c:pt>
            </c:numLit>
          </c:xVal>
          <c:yVal>
            <c:numLit>
              <c:formatCode>General</c:formatCode>
              <c:ptCount val="2"/>
              <c:pt idx="0">
                <c:v>2.3991946017564908E-2</c:v>
              </c:pt>
              <c:pt idx="1">
                <c:v>2.4057559146512728E-2</c:v>
              </c:pt>
            </c:numLit>
          </c:yVal>
          <c:smooth val="0"/>
          <c:extLst>
            <c:ext xmlns:c16="http://schemas.microsoft.com/office/drawing/2014/chart" uri="{C3380CC4-5D6E-409C-BE32-E72D297353CC}">
              <c16:uniqueId val="{00000077-2155-4DFF-8C0A-E03BB7E43D67}"/>
            </c:ext>
          </c:extLst>
        </c:ser>
        <c:ser>
          <c:idx val="101"/>
          <c:order val="101"/>
          <c:spPr>
            <a:ln w="3175">
              <a:solidFill>
                <a:srgbClr val="000000"/>
              </a:solidFill>
              <a:prstDash val="solid"/>
            </a:ln>
          </c:spPr>
          <c:marker>
            <c:symbol val="none"/>
          </c:marker>
          <c:xVal>
            <c:numLit>
              <c:formatCode>General</c:formatCode>
              <c:ptCount val="2"/>
              <c:pt idx="0">
                <c:v>-5.9020274437754896</c:v>
              </c:pt>
              <c:pt idx="1">
                <c:v>-6.4773429056515814</c:v>
              </c:pt>
            </c:numLit>
          </c:xVal>
          <c:yVal>
            <c:numLit>
              <c:formatCode>General</c:formatCode>
              <c:ptCount val="2"/>
              <c:pt idx="0">
                <c:v>2.3869610711458024E-2</c:v>
              </c:pt>
              <c:pt idx="1">
                <c:v>2.3995594027663367E-2</c:v>
              </c:pt>
            </c:numLit>
          </c:yVal>
          <c:smooth val="0"/>
          <c:extLst>
            <c:ext xmlns:c16="http://schemas.microsoft.com/office/drawing/2014/chart" uri="{C3380CC4-5D6E-409C-BE32-E72D297353CC}">
              <c16:uniqueId val="{00000078-2155-4DFF-8C0A-E03BB7E43D67}"/>
            </c:ext>
          </c:extLst>
        </c:ser>
        <c:ser>
          <c:idx val="102"/>
          <c:order val="102"/>
          <c:spPr>
            <a:ln w="3175">
              <a:solidFill>
                <a:srgbClr val="000000"/>
              </a:solidFill>
              <a:prstDash val="solid"/>
            </a:ln>
          </c:spPr>
          <c:marker>
            <c:symbol val="none"/>
          </c:marker>
          <c:dLbls>
            <c:dLbl>
              <c:idx val="0"/>
              <c:tx>
                <c:rich>
                  <a:bodyPr rot="9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9-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-7.5320879190910839</c:v>
              </c:pt>
            </c:numLit>
          </c:xVal>
          <c:yVal>
            <c:numLit>
              <c:formatCode>General</c:formatCode>
              <c:ptCount val="1"/>
              <c:pt idx="0">
                <c:v>2.4226563440706499E-2</c:v>
              </c:pt>
            </c:numLit>
          </c:yVal>
          <c:smooth val="0"/>
          <c:extLst>
            <c:ext xmlns:c16="http://schemas.microsoft.com/office/drawing/2014/chart" uri="{C3380CC4-5D6E-409C-BE32-E72D297353CC}">
              <c16:uniqueId val="{0000007A-2155-4DFF-8C0A-E03BB7E43D67}"/>
            </c:ext>
          </c:extLst>
        </c:ser>
        <c:ser>
          <c:idx val="103"/>
          <c:order val="103"/>
          <c:spPr>
            <a:ln w="3175">
              <a:solidFill>
                <a:srgbClr val="000000"/>
              </a:solidFill>
              <a:prstDash val="solid"/>
            </a:ln>
          </c:spPr>
          <c:marker>
            <c:symbol val="none"/>
          </c:marker>
          <c:xVal>
            <c:numLit>
              <c:formatCode>General</c:formatCode>
              <c:ptCount val="2"/>
              <c:pt idx="0">
                <c:v>-6.0041567309797621</c:v>
              </c:pt>
              <c:pt idx="1">
                <c:v>-6.2940029466436149</c:v>
              </c:pt>
            </c:numLit>
          </c:xVal>
          <c:yVal>
            <c:numLit>
              <c:formatCode>General</c:formatCode>
              <c:ptCount val="2"/>
              <c:pt idx="0">
                <c:v>2.3601243359121643E-2</c:v>
              </c:pt>
              <c:pt idx="1">
                <c:v>2.3658484288245678E-2</c:v>
              </c:pt>
            </c:numLit>
          </c:yVal>
          <c:smooth val="0"/>
          <c:extLst>
            <c:ext xmlns:c16="http://schemas.microsoft.com/office/drawing/2014/chart" uri="{C3380CC4-5D6E-409C-BE32-E72D297353CC}">
              <c16:uniqueId val="{0000007B-2155-4DFF-8C0A-E03BB7E43D67}"/>
            </c:ext>
          </c:extLst>
        </c:ser>
        <c:ser>
          <c:idx val="104"/>
          <c:order val="104"/>
          <c:spPr>
            <a:ln w="3175">
              <a:solidFill>
                <a:srgbClr val="000000"/>
              </a:solidFill>
              <a:prstDash val="solid"/>
            </a:ln>
          </c:spPr>
          <c:marker>
            <c:symbol val="none"/>
          </c:marker>
          <c:xVal>
            <c:numLit>
              <c:formatCode>General</c:formatCode>
              <c:ptCount val="2"/>
              <c:pt idx="0">
                <c:v>-6.0816762741522021</c:v>
              </c:pt>
              <c:pt idx="1">
                <c:v>-6.664690971615868</c:v>
              </c:pt>
            </c:numLit>
          </c:xVal>
          <c:yVal>
            <c:numLit>
              <c:formatCode>General</c:formatCode>
              <c:ptCount val="2"/>
              <c:pt idx="0">
                <c:v>2.3376424442580822E-2</c:v>
              </c:pt>
              <c:pt idx="1">
                <c:v>2.3481271204405716E-2</c:v>
              </c:pt>
            </c:numLit>
          </c:yVal>
          <c:smooth val="0"/>
          <c:extLst>
            <c:ext xmlns:c16="http://schemas.microsoft.com/office/drawing/2014/chart" uri="{C3380CC4-5D6E-409C-BE32-E72D297353CC}">
              <c16:uniqueId val="{0000007C-2155-4DFF-8C0A-E03BB7E43D67}"/>
            </c:ext>
          </c:extLst>
        </c:ser>
        <c:ser>
          <c:idx val="105"/>
          <c:order val="105"/>
          <c:spPr>
            <a:ln w="3175">
              <a:solidFill>
                <a:srgbClr val="000000"/>
              </a:solidFill>
              <a:prstDash val="solid"/>
            </a:ln>
          </c:spPr>
          <c:marker>
            <c:symbol val="none"/>
          </c:marker>
          <c:dLbls>
            <c:dLbl>
              <c:idx val="0"/>
              <c:tx>
                <c:rich>
                  <a:bodyPr rot="8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7D-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-7.7335512502992545</c:v>
              </c:pt>
            </c:numLit>
          </c:xVal>
          <c:yVal>
            <c:numLit>
              <c:formatCode>General</c:formatCode>
              <c:ptCount val="1"/>
              <c:pt idx="0">
                <c:v>2.3673490267751351E-2</c:v>
              </c:pt>
            </c:numLit>
          </c:yVal>
          <c:smooth val="0"/>
          <c:extLst>
            <c:ext xmlns:c16="http://schemas.microsoft.com/office/drawing/2014/chart" uri="{C3380CC4-5D6E-409C-BE32-E72D297353CC}">
              <c16:uniqueId val="{0000007E-2155-4DFF-8C0A-E03BB7E43D67}"/>
            </c:ext>
          </c:extLst>
        </c:ser>
        <c:ser>
          <c:idx val="106"/>
          <c:order val="106"/>
          <c:spPr>
            <a:ln w="3175">
              <a:solidFill>
                <a:srgbClr val="000000"/>
              </a:solidFill>
              <a:prstDash val="solid"/>
            </a:ln>
          </c:spPr>
          <c:marker>
            <c:symbol val="none"/>
          </c:marker>
          <c:xVal>
            <c:numLit>
              <c:formatCode>General</c:formatCode>
              <c:ptCount val="2"/>
              <c:pt idx="0">
                <c:v>-6.1418165019856463</c:v>
              </c:pt>
              <c:pt idx="1">
                <c:v>-6.4346125698853394</c:v>
              </c:pt>
            </c:numLit>
          </c:xVal>
          <c:yVal>
            <c:numLit>
              <c:formatCode>General</c:formatCode>
              <c:ptCount val="2"/>
              <c:pt idx="0">
                <c:v>2.3185628388742628E-2</c:v>
              </c:pt>
              <c:pt idx="1">
                <c:v>2.3233963282787113E-2</c:v>
              </c:pt>
            </c:numLit>
          </c:yVal>
          <c:smooth val="0"/>
          <c:extLst>
            <c:ext xmlns:c16="http://schemas.microsoft.com/office/drawing/2014/chart" uri="{C3380CC4-5D6E-409C-BE32-E72D297353CC}">
              <c16:uniqueId val="{0000007F-2155-4DFF-8C0A-E03BB7E43D67}"/>
            </c:ext>
          </c:extLst>
        </c:ser>
        <c:ser>
          <c:idx val="107"/>
          <c:order val="107"/>
          <c:spPr>
            <a:ln w="3175">
              <a:solidFill>
                <a:srgbClr val="000000"/>
              </a:solidFill>
              <a:prstDash val="solid"/>
            </a:ln>
          </c:spPr>
          <c:marker>
            <c:symbol val="none"/>
          </c:marker>
          <c:xVal>
            <c:numLit>
              <c:formatCode>General</c:formatCode>
              <c:ptCount val="2"/>
              <c:pt idx="0">
                <c:v>-6.1893611787955249</c:v>
              </c:pt>
              <c:pt idx="1">
                <c:v>-6.7769909436010467</c:v>
              </c:pt>
            </c:numLit>
          </c:xVal>
          <c:yVal>
            <c:numLit>
              <c:formatCode>General</c:formatCode>
              <c:ptCount val="2"/>
              <c:pt idx="0">
                <c:v>2.3021845518026735E-2</c:v>
              </c:pt>
              <c:pt idx="1">
                <c:v>2.3111496040227882E-2</c:v>
              </c:pt>
            </c:numLit>
          </c:yVal>
          <c:smooth val="0"/>
          <c:extLst>
            <c:ext xmlns:c16="http://schemas.microsoft.com/office/drawing/2014/chart" uri="{C3380CC4-5D6E-409C-BE32-E72D297353CC}">
              <c16:uniqueId val="{00000080-2155-4DFF-8C0A-E03BB7E43D67}"/>
            </c:ext>
          </c:extLst>
        </c:ser>
        <c:ser>
          <c:idx val="108"/>
          <c:order val="108"/>
          <c:spPr>
            <a:ln w="3175">
              <a:solidFill>
                <a:srgbClr val="000000"/>
              </a:solidFill>
              <a:prstDash val="solid"/>
            </a:ln>
          </c:spPr>
          <c:marker>
            <c:symbol val="none"/>
          </c:marker>
          <c:dLbls>
            <c:dLbl>
              <c:idx val="0"/>
              <c:tx>
                <c:rich>
                  <a:bodyPr rot="7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1-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-7.8543121790778381</c:v>
              </c:pt>
            </c:numLit>
          </c:xVal>
          <c:yVal>
            <c:numLit>
              <c:formatCode>General</c:formatCode>
              <c:ptCount val="1"/>
              <c:pt idx="0">
                <c:v>2.3275855330929983E-2</c:v>
              </c:pt>
            </c:numLit>
          </c:yVal>
          <c:smooth val="0"/>
          <c:extLst>
            <c:ext xmlns:c16="http://schemas.microsoft.com/office/drawing/2014/chart" uri="{C3380CC4-5D6E-409C-BE32-E72D297353CC}">
              <c16:uniqueId val="{00000082-2155-4DFF-8C0A-E03BB7E43D67}"/>
            </c:ext>
          </c:extLst>
        </c:ser>
        <c:ser>
          <c:idx val="109"/>
          <c:order val="109"/>
          <c:spPr>
            <a:ln w="3175">
              <a:solidFill>
                <a:srgbClr val="000000"/>
              </a:solidFill>
              <a:prstDash val="solid"/>
            </a:ln>
          </c:spPr>
          <c:marker>
            <c:symbol val="none"/>
          </c:marker>
          <c:xVal>
            <c:numLit>
              <c:formatCode>General</c:formatCode>
              <c:ptCount val="2"/>
              <c:pt idx="0">
                <c:v>-6.2275685419443816</c:v>
              </c:pt>
              <c:pt idx="1">
                <c:v>-6.5222021535574761</c:v>
              </c:pt>
            </c:numLit>
          </c:xVal>
          <c:yVal>
            <c:numLit>
              <c:formatCode>General</c:formatCode>
              <c:ptCount val="2"/>
              <c:pt idx="0">
                <c:v>2.2879826043585575E-2</c:v>
              </c:pt>
              <c:pt idx="1">
                <c:v>2.2921608030233839E-2</c:v>
              </c:pt>
            </c:numLit>
          </c:yVal>
          <c:smooth val="0"/>
          <c:extLst>
            <c:ext xmlns:c16="http://schemas.microsoft.com/office/drawing/2014/chart" uri="{C3380CC4-5D6E-409C-BE32-E72D297353CC}">
              <c16:uniqueId val="{00000083-2155-4DFF-8C0A-E03BB7E43D67}"/>
            </c:ext>
          </c:extLst>
        </c:ser>
        <c:ser>
          <c:idx val="110"/>
          <c:order val="110"/>
          <c:spPr>
            <a:ln w="3175">
              <a:solidFill>
                <a:srgbClr val="000000"/>
              </a:solidFill>
              <a:prstDash val="solid"/>
            </a:ln>
          </c:spPr>
          <c:marker>
            <c:symbol val="none"/>
          </c:marker>
          <c:xVal>
            <c:numLit>
              <c:formatCode>General</c:formatCode>
              <c:ptCount val="2"/>
              <c:pt idx="0">
                <c:v>-6.2587153367755777</c:v>
              </c:pt>
              <c:pt idx="1">
                <c:v>-6.8493174226373874</c:v>
              </c:pt>
            </c:numLit>
          </c:xVal>
          <c:yVal>
            <c:numLit>
              <c:formatCode>General</c:formatCode>
              <c:ptCount val="2"/>
              <c:pt idx="0">
                <c:v>2.2755572771766694E-2</c:v>
              </c:pt>
              <c:pt idx="1">
                <c:v>2.2833811604842408E-2</c:v>
              </c:pt>
            </c:numLit>
          </c:yVal>
          <c:smooth val="0"/>
          <c:extLst>
            <c:ext xmlns:c16="http://schemas.microsoft.com/office/drawing/2014/chart" uri="{C3380CC4-5D6E-409C-BE32-E72D297353CC}">
              <c16:uniqueId val="{00000084-2155-4DFF-8C0A-E03BB7E43D67}"/>
            </c:ext>
          </c:extLst>
        </c:ser>
        <c:ser>
          <c:idx val="111"/>
          <c:order val="111"/>
          <c:spPr>
            <a:ln w="3175">
              <a:solidFill>
                <a:srgbClr val="000000"/>
              </a:solidFill>
              <a:prstDash val="solid"/>
            </a:ln>
          </c:spPr>
          <c:marker>
            <c:symbol val="none"/>
          </c:marker>
          <c:dLbls>
            <c:dLbl>
              <c:idx val="0"/>
              <c:tx>
                <c:rich>
                  <a:bodyPr rot="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5-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-7.9320879133840396</c:v>
              </c:pt>
            </c:numLit>
          </c:xVal>
          <c:yVal>
            <c:numLit>
              <c:formatCode>General</c:formatCode>
              <c:ptCount val="1"/>
              <c:pt idx="0">
                <c:v>2.2977249465481218E-2</c:v>
              </c:pt>
            </c:numLit>
          </c:yVal>
          <c:smooth val="0"/>
          <c:extLst>
            <c:ext xmlns:c16="http://schemas.microsoft.com/office/drawing/2014/chart" uri="{C3380CC4-5D6E-409C-BE32-E72D297353CC}">
              <c16:uniqueId val="{00000086-2155-4DFF-8C0A-E03BB7E43D67}"/>
            </c:ext>
          </c:extLst>
        </c:ser>
        <c:ser>
          <c:idx val="112"/>
          <c:order val="112"/>
          <c:spPr>
            <a:ln w="3175">
              <a:solidFill>
                <a:srgbClr val="000000"/>
              </a:solidFill>
              <a:prstDash val="solid"/>
            </a:ln>
          </c:spPr>
          <c:marker>
            <c:symbol val="none"/>
          </c:marker>
          <c:xVal>
            <c:numLit>
              <c:formatCode>General</c:formatCode>
              <c:ptCount val="2"/>
              <c:pt idx="0">
                <c:v>-6.3058961870318369</c:v>
              </c:pt>
              <c:pt idx="1">
                <c:v>-6.6022082481825199</c:v>
              </c:pt>
            </c:numLit>
          </c:xVal>
          <c:yVal>
            <c:numLit>
              <c:formatCode>General</c:formatCode>
              <c:ptCount val="2"/>
              <c:pt idx="0">
                <c:v>2.2548671580655582E-2</c:v>
              </c:pt>
              <c:pt idx="1">
                <c:v>2.2583357400241057E-2</c:v>
              </c:pt>
            </c:numLit>
          </c:yVal>
          <c:smooth val="0"/>
          <c:extLst>
            <c:ext xmlns:c16="http://schemas.microsoft.com/office/drawing/2014/chart" uri="{C3380CC4-5D6E-409C-BE32-E72D297353CC}">
              <c16:uniqueId val="{00000087-2155-4DFF-8C0A-E03BB7E43D67}"/>
            </c:ext>
          </c:extLst>
        </c:ser>
        <c:ser>
          <c:idx val="113"/>
          <c:order val="113"/>
          <c:spPr>
            <a:ln w="3175">
              <a:solidFill>
                <a:srgbClr val="000000"/>
              </a:solidFill>
              <a:prstDash val="solid"/>
            </a:ln>
          </c:spPr>
          <c:marker>
            <c:symbol val="none"/>
          </c:marker>
          <c:xVal>
            <c:numLit>
              <c:formatCode>General</c:formatCode>
              <c:ptCount val="2"/>
              <c:pt idx="0">
                <c:v>-6.3394006467143074</c:v>
              </c:pt>
              <c:pt idx="1">
                <c:v>-6.6364306605724712</c:v>
              </c:pt>
            </c:numLit>
          </c:xVal>
          <c:yVal>
            <c:numLit>
              <c:formatCode>General</c:formatCode>
              <c:ptCount val="2"/>
              <c:pt idx="0">
                <c:v>2.2383467693411988E-2</c:v>
              </c:pt>
              <c:pt idx="1">
                <c:v>2.2414613429699387E-2</c:v>
              </c:pt>
            </c:numLit>
          </c:yVal>
          <c:smooth val="0"/>
          <c:extLst>
            <c:ext xmlns:c16="http://schemas.microsoft.com/office/drawing/2014/chart" uri="{C3380CC4-5D6E-409C-BE32-E72D297353CC}">
              <c16:uniqueId val="{00000088-2155-4DFF-8C0A-E03BB7E43D67}"/>
            </c:ext>
          </c:extLst>
        </c:ser>
        <c:ser>
          <c:idx val="114"/>
          <c:order val="114"/>
          <c:spPr>
            <a:ln w="3175">
              <a:solidFill>
                <a:srgbClr val="000000"/>
              </a:solidFill>
              <a:prstDash val="solid"/>
            </a:ln>
          </c:spPr>
          <c:marker>
            <c:symbol val="none"/>
          </c:marker>
          <c:xVal>
            <c:numLit>
              <c:formatCode>General</c:formatCode>
              <c:ptCount val="2"/>
              <c:pt idx="0">
                <c:v>-6.3640278309235088</c:v>
              </c:pt>
              <c:pt idx="1">
                <c:v>-6.6615855701575848</c:v>
              </c:pt>
            </c:numLit>
          </c:xVal>
          <c:yVal>
            <c:numLit>
              <c:formatCode>General</c:formatCode>
              <c:ptCount val="2"/>
              <c:pt idx="0">
                <c:v>2.2248609023778468E-2</c:v>
              </c:pt>
              <c:pt idx="1">
                <c:v>2.2276864931430863E-2</c:v>
              </c:pt>
            </c:numLit>
          </c:yVal>
          <c:smooth val="0"/>
          <c:extLst>
            <c:ext xmlns:c16="http://schemas.microsoft.com/office/drawing/2014/chart" uri="{C3380CC4-5D6E-409C-BE32-E72D297353CC}">
              <c16:uniqueId val="{00000089-2155-4DFF-8C0A-E03BB7E43D67}"/>
            </c:ext>
          </c:extLst>
        </c:ser>
        <c:ser>
          <c:idx val="115"/>
          <c:order val="115"/>
          <c:spPr>
            <a:ln w="3175">
              <a:solidFill>
                <a:srgbClr val="000000"/>
              </a:solidFill>
              <a:prstDash val="solid"/>
            </a:ln>
          </c:spPr>
          <c:marker>
            <c:symbol val="none"/>
          </c:marker>
          <c:xVal>
            <c:numLit>
              <c:formatCode>General</c:formatCode>
              <c:ptCount val="2"/>
              <c:pt idx="0">
                <c:v>-6.382648783342864</c:v>
              </c:pt>
              <c:pt idx="1">
                <c:v>-6.6806055429859255</c:v>
              </c:pt>
            </c:numLit>
          </c:xVal>
          <c:yVal>
            <c:numLit>
              <c:formatCode>General</c:formatCode>
              <c:ptCount val="2"/>
              <c:pt idx="0">
                <c:v>2.2136492726931425E-2</c:v>
              </c:pt>
              <c:pt idx="1">
                <c:v>2.2162346142508529E-2</c:v>
              </c:pt>
            </c:numLit>
          </c:yVal>
          <c:smooth val="0"/>
          <c:extLst>
            <c:ext xmlns:c16="http://schemas.microsoft.com/office/drawing/2014/chart" uri="{C3380CC4-5D6E-409C-BE32-E72D297353CC}">
              <c16:uniqueId val="{0000008A-2155-4DFF-8C0A-E03BB7E43D67}"/>
            </c:ext>
          </c:extLst>
        </c:ser>
        <c:ser>
          <c:idx val="116"/>
          <c:order val="116"/>
          <c:spPr>
            <a:ln w="3175">
              <a:solidFill>
                <a:srgbClr val="000000"/>
              </a:solidFill>
              <a:prstDash val="solid"/>
            </a:ln>
          </c:spPr>
          <c:marker>
            <c:symbol val="none"/>
          </c:marker>
          <c:xVal>
            <c:numLit>
              <c:formatCode>General</c:formatCode>
              <c:ptCount val="2"/>
              <c:pt idx="0">
                <c:v>-6.3970641036563771</c:v>
              </c:pt>
              <c:pt idx="1">
                <c:v>-6.9935954223845069</c:v>
              </c:pt>
            </c:numLit>
          </c:xVal>
          <c:yVal>
            <c:numLit>
              <c:formatCode>General</c:formatCode>
              <c:ptCount val="2"/>
              <c:pt idx="0">
                <c:v>2.2041845203134694E-2</c:v>
              </c:pt>
              <c:pt idx="1">
                <c:v>2.2089495711840466E-2</c:v>
              </c:pt>
            </c:numLit>
          </c:yVal>
          <c:smooth val="0"/>
          <c:extLst>
            <c:ext xmlns:c16="http://schemas.microsoft.com/office/drawing/2014/chart" uri="{C3380CC4-5D6E-409C-BE32-E72D297353CC}">
              <c16:uniqueId val="{0000008B-2155-4DFF-8C0A-E03BB7E43D67}"/>
            </c:ext>
          </c:extLst>
        </c:ser>
        <c:ser>
          <c:idx val="117"/>
          <c:order val="117"/>
          <c:spPr>
            <a:ln w="3175">
              <a:solidFill>
                <a:srgbClr val="000000"/>
              </a:solidFill>
              <a:prstDash val="solid"/>
            </a:ln>
          </c:spPr>
          <c:marker>
            <c:symbol val="none"/>
          </c:marker>
          <c:dLbls>
            <c:dLbl>
              <c:idx val="0"/>
              <c:tx>
                <c:rich>
                  <a:bodyPr rot="3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8C-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-8.0872361733860796</c:v>
              </c:pt>
            </c:numLit>
          </c:xVal>
          <c:yVal>
            <c:numLit>
              <c:formatCode>General</c:formatCode>
              <c:ptCount val="1"/>
              <c:pt idx="0">
                <c:v>2.2176854977801051E-2</c:v>
              </c:pt>
            </c:numLit>
          </c:yVal>
          <c:smooth val="0"/>
          <c:extLst>
            <c:ext xmlns:c16="http://schemas.microsoft.com/office/drawing/2014/chart" uri="{C3380CC4-5D6E-409C-BE32-E72D297353CC}">
              <c16:uniqueId val="{0000008D-2155-4DFF-8C0A-E03BB7E43D67}"/>
            </c:ext>
          </c:extLst>
        </c:ser>
        <c:ser>
          <c:idx val="118"/>
          <c:order val="118"/>
          <c:spPr>
            <a:ln w="3175">
              <a:solidFill>
                <a:srgbClr val="000000"/>
              </a:solidFill>
              <a:prstDash val="solid"/>
            </a:ln>
          </c:spPr>
          <c:marker>
            <c:symbol val="none"/>
          </c:marker>
          <c:xVal>
            <c:numLit>
              <c:formatCode>General</c:formatCode>
              <c:ptCount val="2"/>
              <c:pt idx="0">
                <c:v>-6.436353647558132</c:v>
              </c:pt>
              <c:pt idx="1">
                <c:v>-6.7354612257200923</c:v>
              </c:pt>
            </c:numLit>
          </c:xVal>
          <c:yVal>
            <c:numLit>
              <c:formatCode>General</c:formatCode>
              <c:ptCount val="2"/>
              <c:pt idx="0">
                <c:v>2.172811889106761E-2</c:v>
              </c:pt>
              <c:pt idx="1">
                <c:v>2.1745221438733343E-2</c:v>
              </c:pt>
            </c:numLit>
          </c:yVal>
          <c:smooth val="0"/>
          <c:extLst>
            <c:ext xmlns:c16="http://schemas.microsoft.com/office/drawing/2014/chart" uri="{C3380CC4-5D6E-409C-BE32-E72D297353CC}">
              <c16:uniqueId val="{0000008E-2155-4DFF-8C0A-E03BB7E43D67}"/>
            </c:ext>
          </c:extLst>
        </c:ser>
        <c:ser>
          <c:idx val="119"/>
          <c:order val="119"/>
          <c:spPr>
            <a:ln w="3175">
              <a:solidFill>
                <a:srgbClr val="000000"/>
              </a:solidFill>
              <a:prstDash val="solid"/>
            </a:ln>
          </c:spPr>
          <c:marker>
            <c:symbol val="none"/>
          </c:marker>
          <c:xVal>
            <c:numLit>
              <c:formatCode>General</c:formatCode>
              <c:ptCount val="2"/>
              <c:pt idx="0">
                <c:v>-6.4527022004217862</c:v>
              </c:pt>
              <c:pt idx="1">
                <c:v>-7.0516180090112908</c:v>
              </c:pt>
            </c:numLit>
          </c:xVal>
          <c:yVal>
            <c:numLit>
              <c:formatCode>General</c:formatCode>
              <c:ptCount val="2"/>
              <c:pt idx="0">
                <c:v>2.1552224945278583E-2</c:v>
              </c:pt>
              <c:pt idx="1">
                <c:v>2.1578891728647666E-2</c:v>
              </c:pt>
            </c:numLit>
          </c:yVal>
          <c:smooth val="0"/>
          <c:extLst>
            <c:ext xmlns:c16="http://schemas.microsoft.com/office/drawing/2014/chart" uri="{C3380CC4-5D6E-409C-BE32-E72D297353CC}">
              <c16:uniqueId val="{0000008F-2155-4DFF-8C0A-E03BB7E43D67}"/>
            </c:ext>
          </c:extLst>
        </c:ser>
        <c:ser>
          <c:idx val="120"/>
          <c:order val="120"/>
          <c:spPr>
            <a:ln w="3175">
              <a:solidFill>
                <a:srgbClr val="000000"/>
              </a:solidFill>
              <a:prstDash val="solid"/>
            </a:ln>
          </c:spPr>
          <c:marker>
            <c:symbol val="none"/>
          </c:marker>
          <c:dLbls>
            <c:dLbl>
              <c:idx val="0"/>
              <c:tx>
                <c:rich>
                  <a:bodyPr rot="1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-20000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0-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-8.1496303247587161</c:v>
              </c:pt>
            </c:numLit>
          </c:xVal>
          <c:yVal>
            <c:numLit>
              <c:formatCode>General</c:formatCode>
              <c:ptCount val="1"/>
              <c:pt idx="0">
                <c:v>2.1627780831490983E-2</c:v>
              </c:pt>
            </c:numLit>
          </c:yVal>
          <c:smooth val="0"/>
          <c:extLst>
            <c:ext xmlns:c16="http://schemas.microsoft.com/office/drawing/2014/chart" uri="{C3380CC4-5D6E-409C-BE32-E72D297353CC}">
              <c16:uniqueId val="{00000091-2155-4DFF-8C0A-E03BB7E43D67}"/>
            </c:ext>
          </c:extLst>
        </c:ser>
        <c:ser>
          <c:idx val="121"/>
          <c:order val="121"/>
          <c:spPr>
            <a:ln w="3175">
              <a:solidFill>
                <a:srgbClr val="000000"/>
              </a:solidFill>
              <a:prstDash val="solid"/>
            </a:ln>
          </c:spPr>
          <c:marker>
            <c:symbol val="none"/>
          </c:marker>
          <c:xVal>
            <c:numLit>
              <c:formatCode>General</c:formatCode>
              <c:ptCount val="2"/>
              <c:pt idx="0">
                <c:v>-6.4658267837767367</c:v>
              </c:pt>
              <c:pt idx="1">
                <c:v>-6.7655659291433814</c:v>
              </c:pt>
            </c:numLit>
          </c:xVal>
          <c:yVal>
            <c:numLit>
              <c:formatCode>General</c:formatCode>
              <c:ptCount val="2"/>
              <c:pt idx="0">
                <c:v>2.1361728347072451E-2</c:v>
              </c:pt>
              <c:pt idx="1">
                <c:v>2.1370979668795431E-2</c:v>
              </c:pt>
            </c:numLit>
          </c:yVal>
          <c:smooth val="0"/>
          <c:extLst>
            <c:ext xmlns:c16="http://schemas.microsoft.com/office/drawing/2014/chart" uri="{C3380CC4-5D6E-409C-BE32-E72D297353CC}">
              <c16:uniqueId val="{00000092-2155-4DFF-8C0A-E03BB7E43D67}"/>
            </c:ext>
          </c:extLst>
        </c:ser>
        <c:ser>
          <c:idx val="122"/>
          <c:order val="122"/>
          <c:spPr>
            <a:ln w="3175">
              <a:solidFill>
                <a:srgbClr val="000000"/>
              </a:solidFill>
              <a:prstDash val="solid"/>
            </a:ln>
          </c:spPr>
          <c:marker>
            <c:symbol val="none"/>
          </c:marker>
          <c:xVal>
            <c:numLit>
              <c:formatCode>General</c:formatCode>
              <c:ptCount val="2"/>
              <c:pt idx="0">
                <c:v>-6.4708678812703511</c:v>
              </c:pt>
              <c:pt idx="1">
                <c:v>-7.07056221903908</c:v>
              </c:pt>
            </c:numLit>
          </c:xVal>
          <c:yVal>
            <c:numLit>
              <c:formatCode>General</c:formatCode>
              <c:ptCount val="2"/>
              <c:pt idx="0">
                <c:v>2.1260488451156453E-2</c:v>
              </c:pt>
              <c:pt idx="1">
                <c:v>2.1274652241920301E-2</c:v>
              </c:pt>
            </c:numLit>
          </c:yVal>
          <c:smooth val="0"/>
          <c:extLst>
            <c:ext xmlns:c16="http://schemas.microsoft.com/office/drawing/2014/chart" uri="{C3380CC4-5D6E-409C-BE32-E72D297353CC}">
              <c16:uniqueId val="{00000093-2155-4DFF-8C0A-E03BB7E43D67}"/>
            </c:ext>
          </c:extLst>
        </c:ser>
        <c:ser>
          <c:idx val="123"/>
          <c:order val="123"/>
          <c:spPr>
            <a:ln w="3175">
              <a:solidFill>
                <a:srgbClr val="000000"/>
              </a:solidFill>
              <a:prstDash val="solid"/>
            </a:ln>
          </c:spPr>
          <c:marker>
            <c:symbol val="none"/>
          </c:marker>
          <c:dLbls>
            <c:dLbl>
              <c:idx val="0"/>
              <c:tx>
                <c:rich>
                  <a:bodyPr rot="12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-40000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4-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-8.1700018382817508</c:v>
              </c:pt>
            </c:numLit>
          </c:xVal>
          <c:yVal>
            <c:numLit>
              <c:formatCode>General</c:formatCode>
              <c:ptCount val="1"/>
              <c:pt idx="0">
                <c:v>2.1300619191654022E-2</c:v>
              </c:pt>
            </c:numLit>
          </c:yVal>
          <c:smooth val="0"/>
          <c:extLst>
            <c:ext xmlns:c16="http://schemas.microsoft.com/office/drawing/2014/chart" uri="{C3380CC4-5D6E-409C-BE32-E72D297353CC}">
              <c16:uniqueId val="{00000095-2155-4DFF-8C0A-E03BB7E43D67}"/>
            </c:ext>
          </c:extLst>
        </c:ser>
        <c:ser>
          <c:idx val="124"/>
          <c:order val="124"/>
          <c:spPr>
            <a:ln w="3175">
              <a:solidFill>
                <a:srgbClr val="000000"/>
              </a:solidFill>
              <a:prstDash val="solid"/>
            </a:ln>
          </c:spPr>
          <c:marker>
            <c:symbol val="none"/>
          </c:marker>
          <c:xVal>
            <c:numLit>
              <c:formatCode>General</c:formatCode>
              <c:ptCount val="2"/>
              <c:pt idx="0">
                <c:v>-6.4780000000000006</c:v>
              </c:pt>
              <c:pt idx="1">
                <c:v>-7.0780000000000003</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96-2155-4DFF-8C0A-E03BB7E43D67}"/>
            </c:ext>
          </c:extLst>
        </c:ser>
        <c:ser>
          <c:idx val="125"/>
          <c:order val="125"/>
          <c:spPr>
            <a:ln w="3175">
              <a:solidFill>
                <a:srgbClr val="000000"/>
              </a:solidFill>
              <a:prstDash val="solid"/>
            </a:ln>
          </c:spPr>
          <c:marker>
            <c:symbol val="none"/>
          </c:marker>
          <c:dLbls>
            <c:dLbl>
              <c:idx val="0"/>
              <c:tx>
                <c:rich>
                  <a:bodyPr rot="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7-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-8.1780000000000008</c:v>
              </c:pt>
            </c:numLit>
          </c:xVal>
          <c:yVal>
            <c:numLit>
              <c:formatCode>General</c:formatCode>
              <c:ptCount val="1"/>
              <c:pt idx="0">
                <c:v>2.0930000000000001E-2</c:v>
              </c:pt>
            </c:numLit>
          </c:yVal>
          <c:smooth val="0"/>
          <c:extLst>
            <c:ext xmlns:c16="http://schemas.microsoft.com/office/drawing/2014/chart" uri="{C3380CC4-5D6E-409C-BE32-E72D297353CC}">
              <c16:uniqueId val="{00000098-2155-4DFF-8C0A-E03BB7E43D67}"/>
            </c:ext>
          </c:extLst>
        </c:ser>
        <c:ser>
          <c:idx val="126"/>
          <c:order val="126"/>
          <c:spPr>
            <a:ln w="3175">
              <a:solidFill>
                <a:srgbClr val="000000"/>
              </a:solidFill>
              <a:prstDash val="solid"/>
            </a:ln>
          </c:spPr>
          <c:marker>
            <c:symbol val="none"/>
          </c:marker>
          <c:xVal>
            <c:numLit>
              <c:formatCode>General</c:formatCode>
              <c:ptCount val="2"/>
              <c:pt idx="0">
                <c:v>-6.4687544134534143</c:v>
              </c:pt>
              <c:pt idx="1">
                <c:v>-7.0683581740299886</c:v>
              </c:pt>
            </c:numLit>
          </c:xVal>
          <c:yVal>
            <c:numLit>
              <c:formatCode>General</c:formatCode>
              <c:ptCount val="2"/>
              <c:pt idx="0">
                <c:v>2.0553731515266696E-2</c:v>
              </c:pt>
              <c:pt idx="1">
                <c:v>2.0537605723063838E-2</c:v>
              </c:pt>
            </c:numLit>
          </c:yVal>
          <c:smooth val="0"/>
          <c:extLst>
            <c:ext xmlns:c16="http://schemas.microsoft.com/office/drawing/2014/chart" uri="{C3380CC4-5D6E-409C-BE32-E72D297353CC}">
              <c16:uniqueId val="{00000099-2155-4DFF-8C0A-E03BB7E43D67}"/>
            </c:ext>
          </c:extLst>
        </c:ser>
        <c:ser>
          <c:idx val="127"/>
          <c:order val="127"/>
          <c:spPr>
            <a:ln w="3175">
              <a:solidFill>
                <a:srgbClr val="000000"/>
              </a:solidFill>
              <a:prstDash val="solid"/>
            </a:ln>
          </c:spPr>
          <c:marker>
            <c:symbol val="none"/>
          </c:marker>
          <c:dLbls>
            <c:dLbl>
              <c:idx val="0"/>
              <c:tx>
                <c:rich>
                  <a:bodyPr rot="-12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40000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A-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-8.167631735087042</c:v>
              </c:pt>
            </c:numLit>
          </c:xVal>
          <c:yVal>
            <c:numLit>
              <c:formatCode>General</c:formatCode>
              <c:ptCount val="1"/>
              <c:pt idx="0">
                <c:v>2.0508041770691935E-2</c:v>
              </c:pt>
            </c:numLit>
          </c:yVal>
          <c:smooth val="0"/>
          <c:extLst>
            <c:ext xmlns:c16="http://schemas.microsoft.com/office/drawing/2014/chart" uri="{C3380CC4-5D6E-409C-BE32-E72D297353CC}">
              <c16:uniqueId val="{0000009B-2155-4DFF-8C0A-E03BB7E43D67}"/>
            </c:ext>
          </c:extLst>
        </c:ser>
        <c:ser>
          <c:idx val="128"/>
          <c:order val="128"/>
          <c:spPr>
            <a:ln w="3175">
              <a:solidFill>
                <a:srgbClr val="000000"/>
              </a:solidFill>
              <a:prstDash val="solid"/>
            </a:ln>
          </c:spPr>
          <c:marker>
            <c:symbol val="none"/>
          </c:marker>
          <c:xVal>
            <c:numLit>
              <c:formatCode>General</c:formatCode>
              <c:ptCount val="2"/>
              <c:pt idx="0">
                <c:v>-6.4607910353144655</c:v>
              </c:pt>
              <c:pt idx="1">
                <c:v>-6.7604222717854903</c:v>
              </c:pt>
            </c:numLit>
          </c:xVal>
          <c:yVal>
            <c:numLit>
              <c:formatCode>General</c:formatCode>
              <c:ptCount val="2"/>
              <c:pt idx="0">
                <c:v>2.0416729629222568E-2</c:v>
              </c:pt>
              <c:pt idx="1">
                <c:v>2.0405730978420196E-2</c:v>
              </c:pt>
            </c:numLit>
          </c:yVal>
          <c:smooth val="0"/>
          <c:extLst>
            <c:ext xmlns:c16="http://schemas.microsoft.com/office/drawing/2014/chart" uri="{C3380CC4-5D6E-409C-BE32-E72D297353CC}">
              <c16:uniqueId val="{0000009C-2155-4DFF-8C0A-E03BB7E43D67}"/>
            </c:ext>
          </c:extLst>
        </c:ser>
        <c:ser>
          <c:idx val="129"/>
          <c:order val="129"/>
          <c:spPr>
            <a:ln w="3175">
              <a:solidFill>
                <a:srgbClr val="000000"/>
              </a:solidFill>
              <a:prstDash val="solid"/>
            </a:ln>
          </c:spPr>
          <c:marker>
            <c:symbol val="none"/>
          </c:marker>
          <c:xVal>
            <c:numLit>
              <c:formatCode>General</c:formatCode>
              <c:ptCount val="2"/>
              <c:pt idx="0">
                <c:v>-6.4354532742589932</c:v>
              </c:pt>
              <c:pt idx="1">
                <c:v>-7.0336298431558069</c:v>
              </c:pt>
            </c:numLit>
          </c:xVal>
          <c:yVal>
            <c:numLit>
              <c:formatCode>General</c:formatCode>
              <c:ptCount val="2"/>
              <c:pt idx="0">
                <c:v>2.0123312766063169E-2</c:v>
              </c:pt>
              <c:pt idx="1">
                <c:v>2.0088740456037306E-2</c:v>
              </c:pt>
            </c:numLit>
          </c:yVal>
          <c:smooth val="0"/>
          <c:extLst>
            <c:ext xmlns:c16="http://schemas.microsoft.com/office/drawing/2014/chart" uri="{C3380CC4-5D6E-409C-BE32-E72D297353CC}">
              <c16:uniqueId val="{0000009D-2155-4DFF-8C0A-E03BB7E43D67}"/>
            </c:ext>
          </c:extLst>
        </c:ser>
        <c:ser>
          <c:idx val="130"/>
          <c:order val="130"/>
          <c:spPr>
            <a:ln w="3175">
              <a:solidFill>
                <a:srgbClr val="000000"/>
              </a:solidFill>
              <a:prstDash val="solid"/>
            </a:ln>
          </c:spPr>
          <c:marker>
            <c:symbol val="none"/>
          </c:marker>
          <c:dLbls>
            <c:dLbl>
              <c:idx val="0"/>
              <c:tx>
                <c:rich>
                  <a:bodyPr rot="-24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20000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9E-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-8.1302868861332982</c:v>
              </c:pt>
            </c:numLit>
          </c:xVal>
          <c:yVal>
            <c:numLit>
              <c:formatCode>General</c:formatCode>
              <c:ptCount val="1"/>
              <c:pt idx="0">
                <c:v>2.0025357887656553E-2</c:v>
              </c:pt>
            </c:numLit>
          </c:yVal>
          <c:smooth val="0"/>
          <c:extLst>
            <c:ext xmlns:c16="http://schemas.microsoft.com/office/drawing/2014/chart" uri="{C3380CC4-5D6E-409C-BE32-E72D297353CC}">
              <c16:uniqueId val="{0000009F-2155-4DFF-8C0A-E03BB7E43D67}"/>
            </c:ext>
          </c:extLst>
        </c:ser>
        <c:ser>
          <c:idx val="131"/>
          <c:order val="131"/>
          <c:spPr>
            <a:ln w="3175">
              <a:solidFill>
                <a:srgbClr val="000000"/>
              </a:solidFill>
              <a:prstDash val="solid"/>
            </a:ln>
          </c:spPr>
          <c:marker>
            <c:symbol val="none"/>
          </c:marker>
          <c:xVal>
            <c:numLit>
              <c:formatCode>General</c:formatCode>
              <c:ptCount val="2"/>
              <c:pt idx="0">
                <c:v>-6.3946145573537017</c:v>
              </c:pt>
              <c:pt idx="1">
                <c:v>-6.9910408955260026</c:v>
              </c:pt>
            </c:numLit>
          </c:xVal>
          <c:yVal>
            <c:numLit>
              <c:formatCode>General</c:formatCode>
              <c:ptCount val="2"/>
              <c:pt idx="0">
                <c:v>1.9801504574826875E-2</c:v>
              </c:pt>
              <c:pt idx="1">
                <c:v>1.9753140485176599E-2</c:v>
              </c:pt>
            </c:numLit>
          </c:yVal>
          <c:smooth val="0"/>
          <c:extLst>
            <c:ext xmlns:c16="http://schemas.microsoft.com/office/drawing/2014/chart" uri="{C3380CC4-5D6E-409C-BE32-E72D297353CC}">
              <c16:uniqueId val="{000000A0-2155-4DFF-8C0A-E03BB7E43D67}"/>
            </c:ext>
          </c:extLst>
        </c:ser>
        <c:ser>
          <c:idx val="132"/>
          <c:order val="132"/>
          <c:spPr>
            <a:ln w="3175">
              <a:solidFill>
                <a:srgbClr val="000000"/>
              </a:solidFill>
              <a:prstDash val="solid"/>
            </a:ln>
          </c:spPr>
          <c:marker>
            <c:symbol val="none"/>
          </c:marker>
          <c:dLbls>
            <c:dLbl>
              <c:idx val="0"/>
              <c:tx>
                <c:rich>
                  <a:bodyPr rot="-360000" vert="horz" wrap="square" lIns="38100" tIns="19050" rIns="38100" bIns="19050" anchor="ctr">
                    <a:spAutoFit/>
                  </a:bodyPr>
                  <a:lstStyle/>
                  <a:p>
                    <a:pPr algn="ctr">
                      <a:defRPr altLang="ja-JP" sz="500" u="none" strike="noStrike" baseline="0">
                        <a:latin typeface="ＭＳ Ｐ明朝"/>
                        <a:ea typeface="ＭＳ Ｐ明朝"/>
                        <a:cs typeface="ＭＳ Ｐ明朝"/>
                      </a:defRPr>
                    </a:pPr>
                    <a:r>
                      <a:rPr lang="en-US"/>
                      <a:t>15000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1-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-8.0844891821752221</c:v>
              </c:pt>
            </c:numLit>
          </c:xVal>
          <c:yVal>
            <c:numLit>
              <c:formatCode>General</c:formatCode>
              <c:ptCount val="1"/>
              <c:pt idx="0">
                <c:v>1.9664472987484423E-2</c:v>
              </c:pt>
            </c:numLit>
          </c:yVal>
          <c:smooth val="0"/>
          <c:extLst>
            <c:ext xmlns:c16="http://schemas.microsoft.com/office/drawing/2014/chart" uri="{C3380CC4-5D6E-409C-BE32-E72D297353CC}">
              <c16:uniqueId val="{000000A2-2155-4DFF-8C0A-E03BB7E43D67}"/>
            </c:ext>
          </c:extLst>
        </c:ser>
        <c:ser>
          <c:idx val="133"/>
          <c:order val="133"/>
          <c:spPr>
            <a:ln w="3175">
              <a:solidFill>
                <a:srgbClr val="000000"/>
              </a:solidFill>
              <a:prstDash val="solid"/>
            </a:ln>
          </c:spPr>
          <c:marker>
            <c:symbol val="none"/>
          </c:marker>
          <c:xVal>
            <c:numLit>
              <c:formatCode>General</c:formatCode>
              <c:ptCount val="2"/>
              <c:pt idx="0">
                <c:v>-6.3795129803289274</c:v>
              </c:pt>
              <c:pt idx="1">
                <c:v>-6.6774025441931197</c:v>
              </c:pt>
            </c:numLit>
          </c:xVal>
          <c:yVal>
            <c:numLit>
              <c:formatCode>General</c:formatCode>
              <c:ptCount val="2"/>
              <c:pt idx="0">
                <c:v>1.9703897767998347E-2</c:v>
              </c:pt>
              <c:pt idx="1">
                <c:v>1.967762414874117E-2</c:v>
              </c:pt>
            </c:numLit>
          </c:yVal>
          <c:smooth val="0"/>
          <c:extLst>
            <c:ext xmlns:c16="http://schemas.microsoft.com/office/drawing/2014/chart" uri="{C3380CC4-5D6E-409C-BE32-E72D297353CC}">
              <c16:uniqueId val="{000000A3-2155-4DFF-8C0A-E03BB7E43D67}"/>
            </c:ext>
          </c:extLst>
        </c:ser>
        <c:ser>
          <c:idx val="134"/>
          <c:order val="134"/>
          <c:spPr>
            <a:ln w="3175">
              <a:solidFill>
                <a:srgbClr val="000000"/>
              </a:solidFill>
              <a:prstDash val="solid"/>
            </a:ln>
          </c:spPr>
          <c:marker>
            <c:symbol val="none"/>
          </c:marker>
          <c:xVal>
            <c:numLit>
              <c:formatCode>General</c:formatCode>
              <c:ptCount val="2"/>
              <c:pt idx="0">
                <c:v>-6.3599248979775851</c:v>
              </c:pt>
              <c:pt idx="1">
                <c:v>-6.6573947172199626</c:v>
              </c:pt>
            </c:numLit>
          </c:xVal>
          <c:yVal>
            <c:numLit>
              <c:formatCode>General</c:formatCode>
              <c:ptCount val="2"/>
              <c:pt idx="0">
                <c:v>1.9587964977189561E-2</c:v>
              </c:pt>
              <c:pt idx="1">
                <c:v>1.9559207083843622E-2</c:v>
              </c:pt>
            </c:numLit>
          </c:yVal>
          <c:smooth val="0"/>
          <c:extLst>
            <c:ext xmlns:c16="http://schemas.microsoft.com/office/drawing/2014/chart" uri="{C3380CC4-5D6E-409C-BE32-E72D297353CC}">
              <c16:uniqueId val="{000000A4-2155-4DFF-8C0A-E03BB7E43D67}"/>
            </c:ext>
          </c:extLst>
        </c:ser>
        <c:ser>
          <c:idx val="135"/>
          <c:order val="135"/>
          <c:spPr>
            <a:ln w="3175">
              <a:solidFill>
                <a:srgbClr val="000000"/>
              </a:solidFill>
              <a:prstDash val="solid"/>
            </a:ln>
          </c:spPr>
          <c:marker>
            <c:symbol val="none"/>
          </c:marker>
          <c:xVal>
            <c:numLit>
              <c:formatCode>General</c:formatCode>
              <c:ptCount val="2"/>
              <c:pt idx="0">
                <c:v>-6.3338909498930658</c:v>
              </c:pt>
              <c:pt idx="1">
                <c:v>-6.9277148477456256</c:v>
              </c:pt>
            </c:numLit>
          </c:xVal>
          <c:yVal>
            <c:numLit>
              <c:formatCode>General</c:formatCode>
              <c:ptCount val="2"/>
              <c:pt idx="0">
                <c:v>1.9448070774442654E-2</c:v>
              </c:pt>
              <c:pt idx="1">
                <c:v>1.9384559521918768E-2</c:v>
              </c:pt>
            </c:numLit>
          </c:yVal>
          <c:smooth val="0"/>
          <c:extLst>
            <c:ext xmlns:c16="http://schemas.microsoft.com/office/drawing/2014/chart" uri="{C3380CC4-5D6E-409C-BE32-E72D297353CC}">
              <c16:uniqueId val="{000000A5-2155-4DFF-8C0A-E03BB7E43D67}"/>
            </c:ext>
          </c:extLst>
        </c:ser>
        <c:ser>
          <c:idx val="136"/>
          <c:order val="136"/>
          <c:spPr>
            <a:ln w="3175">
              <a:solidFill>
                <a:srgbClr val="000000"/>
              </a:solidFill>
              <a:prstDash val="solid"/>
            </a:ln>
          </c:spPr>
          <c:marker>
            <c:symbol val="none"/>
          </c:marker>
          <c:xVal>
            <c:numLit>
              <c:formatCode>General</c:formatCode>
              <c:ptCount val="2"/>
              <c:pt idx="0">
                <c:v>-6.2982611859413211</c:v>
              </c:pt>
              <c:pt idx="1">
                <c:v>-6.5944096399257788</c:v>
              </c:pt>
            </c:numLit>
          </c:xVal>
          <c:yVal>
            <c:numLit>
              <c:formatCode>General</c:formatCode>
              <c:ptCount val="2"/>
              <c:pt idx="0">
                <c:v>1.9276040595639192E-2</c:v>
              </c:pt>
              <c:pt idx="1">
                <c:v>1.9240598608402888E-2</c:v>
              </c:pt>
            </c:numLit>
          </c:yVal>
          <c:smooth val="0"/>
          <c:extLst>
            <c:ext xmlns:c16="http://schemas.microsoft.com/office/drawing/2014/chart" uri="{C3380CC4-5D6E-409C-BE32-E72D297353CC}">
              <c16:uniqueId val="{000000A6-2155-4DFF-8C0A-E03BB7E43D67}"/>
            </c:ext>
          </c:extLst>
        </c:ser>
        <c:ser>
          <c:idx val="137"/>
          <c:order val="137"/>
          <c:spPr>
            <a:ln w="3175">
              <a:solidFill>
                <a:srgbClr val="000000"/>
              </a:solidFill>
              <a:prstDash val="solid"/>
            </a:ln>
          </c:spPr>
          <c:marker>
            <c:symbol val="none"/>
          </c:marker>
          <c:xVal>
            <c:numLit>
              <c:formatCode>General</c:formatCode>
              <c:ptCount val="2"/>
              <c:pt idx="0">
                <c:v>-6.2477177107241779</c:v>
              </c:pt>
              <c:pt idx="1">
                <c:v>-6.8378484697552135</c:v>
              </c:pt>
            </c:numLit>
          </c:xVal>
          <c:yVal>
            <c:numLit>
              <c:formatCode>General</c:formatCode>
              <c:ptCount val="2"/>
              <c:pt idx="0">
                <c:v>1.9059579257765528E-2</c:v>
              </c:pt>
              <c:pt idx="1">
                <c:v>1.8979418368812621E-2</c:v>
              </c:pt>
            </c:numLit>
          </c:yVal>
          <c:smooth val="0"/>
          <c:extLst>
            <c:ext xmlns:c16="http://schemas.microsoft.com/office/drawing/2014/chart" uri="{C3380CC4-5D6E-409C-BE32-E72D297353CC}">
              <c16:uniqueId val="{000000A7-2155-4DFF-8C0A-E03BB7E43D67}"/>
            </c:ext>
          </c:extLst>
        </c:ser>
        <c:ser>
          <c:idx val="138"/>
          <c:order val="138"/>
          <c:spPr>
            <a:ln w="3175">
              <a:solidFill>
                <a:srgbClr val="000000"/>
              </a:solidFill>
              <a:prstDash val="solid"/>
            </a:ln>
          </c:spPr>
          <c:marker>
            <c:symbol val="none"/>
          </c:marker>
          <c:dLbls>
            <c:dLbl>
              <c:idx val="0"/>
              <c:tx>
                <c:rich>
                  <a:bodyPr rot="-6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10000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A8-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-7.9197548613121134</c:v>
              </c:pt>
            </c:numLit>
          </c:xVal>
          <c:yVal>
            <c:numLit>
              <c:formatCode>General</c:formatCode>
              <c:ptCount val="1"/>
              <c:pt idx="0">
                <c:v>1.8832456739065626E-2</c:v>
              </c:pt>
            </c:numLit>
          </c:yVal>
          <c:smooth val="0"/>
          <c:extLst>
            <c:ext xmlns:c16="http://schemas.microsoft.com/office/drawing/2014/chart" uri="{C3380CC4-5D6E-409C-BE32-E72D297353CC}">
              <c16:uniqueId val="{000000A9-2155-4DFF-8C0A-E03BB7E43D67}"/>
            </c:ext>
          </c:extLst>
        </c:ser>
        <c:ser>
          <c:idx val="139"/>
          <c:order val="139"/>
          <c:spPr>
            <a:ln w="3175">
              <a:solidFill>
                <a:srgbClr val="000000"/>
              </a:solidFill>
              <a:prstDash val="solid"/>
            </a:ln>
          </c:spPr>
          <c:marker>
            <c:symbol val="none"/>
          </c:marker>
          <c:xVal>
            <c:numLit>
              <c:formatCode>General</c:formatCode>
              <c:ptCount val="2"/>
              <c:pt idx="0">
                <c:v>-6.2141364364601657</c:v>
              </c:pt>
              <c:pt idx="1">
                <c:v>-6.5084822172414558</c:v>
              </c:pt>
            </c:numLit>
          </c:xVal>
          <c:yVal>
            <c:numLit>
              <c:formatCode>General</c:formatCode>
              <c:ptCount val="2"/>
              <c:pt idx="0">
                <c:v>1.8929051078036645E-2</c:v>
              </c:pt>
              <c:pt idx="1">
                <c:v>1.8886173601137431E-2</c:v>
              </c:pt>
            </c:numLit>
          </c:yVal>
          <c:smooth val="0"/>
          <c:extLst>
            <c:ext xmlns:c16="http://schemas.microsoft.com/office/drawing/2014/chart" uri="{C3380CC4-5D6E-409C-BE32-E72D297353CC}">
              <c16:uniqueId val="{000000AA-2155-4DFF-8C0A-E03BB7E43D67}"/>
            </c:ext>
          </c:extLst>
        </c:ser>
        <c:ser>
          <c:idx val="140"/>
          <c:order val="140"/>
          <c:spPr>
            <a:ln w="3175">
              <a:solidFill>
                <a:srgbClr val="000000"/>
              </a:solidFill>
              <a:prstDash val="solid"/>
            </a:ln>
          </c:spPr>
          <c:marker>
            <c:symbol val="none"/>
          </c:marker>
          <c:xVal>
            <c:numLit>
              <c:formatCode>General</c:formatCode>
              <c:ptCount val="2"/>
              <c:pt idx="0">
                <c:v>-6.1727292094729158</c:v>
              </c:pt>
              <c:pt idx="1">
                <c:v>-6.7596461755931836</c:v>
              </c:pt>
            </c:numLit>
          </c:xVal>
          <c:yVal>
            <c:numLit>
              <c:formatCode>General</c:formatCode>
              <c:ptCount val="2"/>
              <c:pt idx="0">
                <c:v>1.8779375962421206E-2</c:v>
              </c:pt>
              <c:pt idx="1">
                <c:v>1.8687206360810688E-2</c:v>
              </c:pt>
            </c:numLit>
          </c:yVal>
          <c:smooth val="0"/>
          <c:extLst>
            <c:ext xmlns:c16="http://schemas.microsoft.com/office/drawing/2014/chart" uri="{C3380CC4-5D6E-409C-BE32-E72D297353CC}">
              <c16:uniqueId val="{000000AB-2155-4DFF-8C0A-E03BB7E43D67}"/>
            </c:ext>
          </c:extLst>
        </c:ser>
        <c:ser>
          <c:idx val="141"/>
          <c:order val="141"/>
          <c:spPr>
            <a:ln w="3175">
              <a:solidFill>
                <a:srgbClr val="000000"/>
              </a:solidFill>
              <a:prstDash val="solid"/>
            </a:ln>
          </c:spPr>
          <c:marker>
            <c:symbol val="none"/>
          </c:marker>
          <c:xVal>
            <c:numLit>
              <c:formatCode>General</c:formatCode>
              <c:ptCount val="2"/>
              <c:pt idx="0">
                <c:v>-6.1208981028564446</c:v>
              </c:pt>
              <c:pt idx="1">
                <c:v>-6.4132459193462266</c:v>
              </c:pt>
            </c:numLit>
          </c:xVal>
          <c:yVal>
            <c:numLit>
              <c:formatCode>General</c:formatCode>
              <c:ptCount val="2"/>
              <c:pt idx="0">
                <c:v>1.8606133509740334E-2</c:v>
              </c:pt>
              <c:pt idx="1">
                <c:v>1.8556336370663343E-2</c:v>
              </c:pt>
            </c:numLit>
          </c:yVal>
          <c:smooth val="0"/>
          <c:extLst>
            <c:ext xmlns:c16="http://schemas.microsoft.com/office/drawing/2014/chart" uri="{C3380CC4-5D6E-409C-BE32-E72D297353CC}">
              <c16:uniqueId val="{000000AC-2155-4DFF-8C0A-E03BB7E43D67}"/>
            </c:ext>
          </c:extLst>
        </c:ser>
        <c:ser>
          <c:idx val="142"/>
          <c:order val="142"/>
          <c:spPr>
            <a:ln w="3175">
              <a:solidFill>
                <a:srgbClr val="000000"/>
              </a:solidFill>
              <a:prstDash val="solid"/>
            </a:ln>
          </c:spPr>
          <c:marker>
            <c:symbol val="none"/>
          </c:marker>
          <c:xVal>
            <c:numLit>
              <c:formatCode>General</c:formatCode>
              <c:ptCount val="2"/>
              <c:pt idx="0">
                <c:v>-6.0548906661909623</c:v>
              </c:pt>
              <c:pt idx="1">
                <c:v>-6.6367574090277168</c:v>
              </c:pt>
            </c:numLit>
          </c:xVal>
          <c:yVal>
            <c:numLit>
              <c:formatCode>General</c:formatCode>
              <c:ptCount val="2"/>
              <c:pt idx="0">
                <c:v>1.8403482795007753E-2</c:v>
              </c:pt>
              <c:pt idx="1">
                <c:v>1.8295203486222371E-2</c:v>
              </c:pt>
            </c:numLit>
          </c:yVal>
          <c:smooth val="0"/>
          <c:extLst>
            <c:ext xmlns:c16="http://schemas.microsoft.com/office/drawing/2014/chart" uri="{C3380CC4-5D6E-409C-BE32-E72D297353CC}">
              <c16:uniqueId val="{000000AD-2155-4DFF-8C0A-E03BB7E43D67}"/>
            </c:ext>
          </c:extLst>
        </c:ser>
        <c:ser>
          <c:idx val="143"/>
          <c:order val="143"/>
          <c:spPr>
            <a:ln w="3175">
              <a:solidFill>
                <a:srgbClr val="000000"/>
              </a:solidFill>
              <a:prstDash val="solid"/>
            </a:ln>
          </c:spPr>
          <c:marker>
            <c:symbol val="none"/>
          </c:marker>
          <c:xVal>
            <c:numLit>
              <c:formatCode>General</c:formatCode>
              <c:ptCount val="2"/>
              <c:pt idx="0">
                <c:v>-5.969139454636716</c:v>
              </c:pt>
              <c:pt idx="1">
                <c:v>-6.2582353000932178</c:v>
              </c:pt>
            </c:numLit>
          </c:xVal>
          <c:yVal>
            <c:numLit>
              <c:formatCode>General</c:formatCode>
              <c:ptCount val="2"/>
              <c:pt idx="0">
                <c:v>1.8163573931641964E-2</c:v>
              </c:pt>
              <c:pt idx="1">
                <c:v>1.8104293373034291E-2</c:v>
              </c:pt>
            </c:numLit>
          </c:yVal>
          <c:smooth val="0"/>
          <c:extLst>
            <c:ext xmlns:c16="http://schemas.microsoft.com/office/drawing/2014/chart" uri="{C3380CC4-5D6E-409C-BE32-E72D297353CC}">
              <c16:uniqueId val="{000000AE-2155-4DFF-8C0A-E03BB7E43D67}"/>
            </c:ext>
          </c:extLst>
        </c:ser>
        <c:ser>
          <c:idx val="144"/>
          <c:order val="144"/>
          <c:spPr>
            <a:ln w="3175">
              <a:solidFill>
                <a:srgbClr val="000000"/>
              </a:solidFill>
              <a:prstDash val="solid"/>
            </a:ln>
          </c:spPr>
          <c:marker>
            <c:symbol val="none"/>
          </c:marker>
          <c:xVal>
            <c:numLit>
              <c:formatCode>General</c:formatCode>
              <c:ptCount val="2"/>
              <c:pt idx="0">
                <c:v>-5.8551287645325596</c:v>
              </c:pt>
              <c:pt idx="1">
                <c:v>-6.4284342830125256</c:v>
              </c:pt>
            </c:numLit>
          </c:xVal>
          <c:yVal>
            <c:numLit>
              <c:formatCode>General</c:formatCode>
              <c:ptCount val="2"/>
              <c:pt idx="0">
                <c:v>1.7875666923032288E-2</c:v>
              </c:pt>
              <c:pt idx="1">
                <c:v>1.7744766934019388E-2</c:v>
              </c:pt>
            </c:numLit>
          </c:yVal>
          <c:smooth val="0"/>
          <c:extLst>
            <c:ext xmlns:c16="http://schemas.microsoft.com/office/drawing/2014/chart" uri="{C3380CC4-5D6E-409C-BE32-E72D297353CC}">
              <c16:uniqueId val="{000000AF-2155-4DFF-8C0A-E03BB7E43D67}"/>
            </c:ext>
          </c:extLst>
        </c:ser>
        <c:ser>
          <c:idx val="145"/>
          <c:order val="145"/>
          <c:spPr>
            <a:ln w="3175">
              <a:solidFill>
                <a:srgbClr val="000000"/>
              </a:solidFill>
              <a:prstDash val="solid"/>
            </a:ln>
          </c:spPr>
          <c:marker>
            <c:symbol val="none"/>
          </c:marker>
          <c:dLbls>
            <c:dLbl>
              <c:idx val="0"/>
              <c:tx>
                <c:rich>
                  <a:bodyPr rot="-10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7000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0-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-7.4794944002257981</c:v>
              </c:pt>
            </c:numLit>
          </c:xVal>
          <c:yVal>
            <c:numLit>
              <c:formatCode>General</c:formatCode>
              <c:ptCount val="1"/>
              <c:pt idx="0">
                <c:v>1.7504783620829068E-2</c:v>
              </c:pt>
            </c:numLit>
          </c:yVal>
          <c:smooth val="0"/>
          <c:extLst>
            <c:ext xmlns:c16="http://schemas.microsoft.com/office/drawing/2014/chart" uri="{C3380CC4-5D6E-409C-BE32-E72D297353CC}">
              <c16:uniqueId val="{000000B1-2155-4DFF-8C0A-E03BB7E43D67}"/>
            </c:ext>
          </c:extLst>
        </c:ser>
        <c:ser>
          <c:idx val="146"/>
          <c:order val="146"/>
          <c:spPr>
            <a:ln w="3175">
              <a:solidFill>
                <a:srgbClr val="000000"/>
              </a:solidFill>
              <a:prstDash val="solid"/>
            </a:ln>
          </c:spPr>
          <c:marker>
            <c:symbol val="none"/>
          </c:marker>
          <c:xVal>
            <c:numLit>
              <c:formatCode>General</c:formatCode>
              <c:ptCount val="2"/>
              <c:pt idx="0">
                <c:v>-5.7988285531075912</c:v>
              </c:pt>
              <c:pt idx="1">
                <c:v>-6.0842748792456121</c:v>
              </c:pt>
            </c:numLit>
          </c:xVal>
          <c:yVal>
            <c:numLit>
              <c:formatCode>General</c:formatCode>
              <c:ptCount val="2"/>
              <c:pt idx="0">
                <c:v>1.7743895976123102E-2</c:v>
              </c:pt>
              <c:pt idx="1">
                <c:v>1.7675622318468597E-2</c:v>
              </c:pt>
            </c:numLit>
          </c:yVal>
          <c:smooth val="0"/>
          <c:extLst>
            <c:ext xmlns:c16="http://schemas.microsoft.com/office/drawing/2014/chart" uri="{C3380CC4-5D6E-409C-BE32-E72D297353CC}">
              <c16:uniqueId val="{000000B2-2155-4DFF-8C0A-E03BB7E43D67}"/>
            </c:ext>
          </c:extLst>
        </c:ser>
        <c:ser>
          <c:idx val="147"/>
          <c:order val="147"/>
          <c:spPr>
            <a:ln w="3175">
              <a:solidFill>
                <a:srgbClr val="000000"/>
              </a:solidFill>
              <a:prstDash val="solid"/>
            </a:ln>
          </c:spPr>
          <c:marker>
            <c:symbol val="none"/>
          </c:marker>
          <c:xVal>
            <c:numLit>
              <c:formatCode>General</c:formatCode>
              <c:ptCount val="2"/>
              <c:pt idx="0">
                <c:v>-5.7347616757504305</c:v>
              </c:pt>
              <c:pt idx="1">
                <c:v>-6.0188351402307969</c:v>
              </c:pt>
            </c:numLit>
          </c:xVal>
          <c:yVal>
            <c:numLit>
              <c:formatCode>General</c:formatCode>
              <c:ptCount val="2"/>
              <c:pt idx="0">
                <c:v>1.7600918061456586E-2</c:v>
              </c:pt>
              <c:pt idx="1">
                <c:v>1.7529580591344941E-2</c:v>
              </c:pt>
            </c:numLit>
          </c:yVal>
          <c:smooth val="0"/>
          <c:extLst>
            <c:ext xmlns:c16="http://schemas.microsoft.com/office/drawing/2014/chart" uri="{C3380CC4-5D6E-409C-BE32-E72D297353CC}">
              <c16:uniqueId val="{000000B3-2155-4DFF-8C0A-E03BB7E43D67}"/>
            </c:ext>
          </c:extLst>
        </c:ser>
        <c:ser>
          <c:idx val="148"/>
          <c:order val="148"/>
          <c:spPr>
            <a:ln w="3175">
              <a:solidFill>
                <a:srgbClr val="000000"/>
              </a:solidFill>
              <a:prstDash val="solid"/>
            </a:ln>
          </c:spPr>
          <c:marker>
            <c:symbol val="none"/>
          </c:marker>
          <c:xVal>
            <c:numLit>
              <c:formatCode>General</c:formatCode>
              <c:ptCount val="2"/>
              <c:pt idx="0">
                <c:v>-5.6614799564344587</c:v>
              </c:pt>
              <c:pt idx="1">
                <c:v>-5.9439830983580544</c:v>
              </c:pt>
            </c:numLit>
          </c:xVal>
          <c:yVal>
            <c:numLit>
              <c:formatCode>General</c:formatCode>
              <c:ptCount val="2"/>
              <c:pt idx="0">
                <c:v>1.7445349228540973E-2</c:v>
              </c:pt>
              <c:pt idx="1">
                <c:v>1.7370678140581138E-2</c:v>
              </c:pt>
            </c:numLit>
          </c:yVal>
          <c:smooth val="0"/>
          <c:extLst>
            <c:ext xmlns:c16="http://schemas.microsoft.com/office/drawing/2014/chart" uri="{C3380CC4-5D6E-409C-BE32-E72D297353CC}">
              <c16:uniqueId val="{000000B4-2155-4DFF-8C0A-E03BB7E43D67}"/>
            </c:ext>
          </c:extLst>
        </c:ser>
        <c:ser>
          <c:idx val="149"/>
          <c:order val="149"/>
          <c:spPr>
            <a:ln w="3175">
              <a:solidFill>
                <a:srgbClr val="000000"/>
              </a:solidFill>
              <a:prstDash val="solid"/>
            </a:ln>
          </c:spPr>
          <c:marker>
            <c:symbol val="none"/>
          </c:marker>
          <c:xVal>
            <c:numLit>
              <c:formatCode>General</c:formatCode>
              <c:ptCount val="2"/>
              <c:pt idx="0">
                <c:v>-5.5771951197065643</c:v>
              </c:pt>
              <c:pt idx="1">
                <c:v>-5.8578921579859919</c:v>
              </c:pt>
            </c:numLit>
          </c:xVal>
          <c:yVal>
            <c:numLit>
              <c:formatCode>General</c:formatCode>
              <c:ptCount val="2"/>
              <c:pt idx="0">
                <c:v>1.7275593374812867E-2</c:v>
              </c:pt>
              <c:pt idx="1">
                <c:v>1.7197284661415999E-2</c:v>
              </c:pt>
            </c:numLit>
          </c:yVal>
          <c:smooth val="0"/>
          <c:extLst>
            <c:ext xmlns:c16="http://schemas.microsoft.com/office/drawing/2014/chart" uri="{C3380CC4-5D6E-409C-BE32-E72D297353CC}">
              <c16:uniqueId val="{000000B5-2155-4DFF-8C0A-E03BB7E43D67}"/>
            </c:ext>
          </c:extLst>
        </c:ser>
        <c:ser>
          <c:idx val="150"/>
          <c:order val="150"/>
          <c:spPr>
            <a:ln w="3175">
              <a:solidFill>
                <a:srgbClr val="000000"/>
              </a:solidFill>
              <a:prstDash val="solid"/>
            </a:ln>
          </c:spPr>
          <c:marker>
            <c:symbol val="none"/>
          </c:marker>
          <c:xVal>
            <c:numLit>
              <c:formatCode>General</c:formatCode>
              <c:ptCount val="2"/>
              <c:pt idx="0">
                <c:v>-5.4796832004534721</c:v>
              </c:pt>
              <c:pt idx="1">
                <c:v>-6.0368981947586198</c:v>
              </c:pt>
            </c:numLit>
          </c:xVal>
          <c:yVal>
            <c:numLit>
              <c:formatCode>General</c:formatCode>
              <c:ptCount val="2"/>
              <c:pt idx="0">
                <c:v>1.7089808191527837E-2</c:v>
              </c:pt>
              <c:pt idx="1">
                <c:v>1.6925228542593318E-2</c:v>
              </c:pt>
            </c:numLit>
          </c:yVal>
          <c:smooth val="0"/>
          <c:extLst>
            <c:ext xmlns:c16="http://schemas.microsoft.com/office/drawing/2014/chart" uri="{C3380CC4-5D6E-409C-BE32-E72D297353CC}">
              <c16:uniqueId val="{000000B6-2155-4DFF-8C0A-E03BB7E43D67}"/>
            </c:ext>
          </c:extLst>
        </c:ser>
        <c:ser>
          <c:idx val="151"/>
          <c:order val="151"/>
          <c:spPr>
            <a:ln w="3175">
              <a:solidFill>
                <a:srgbClr val="000000"/>
              </a:solidFill>
              <a:prstDash val="solid"/>
            </a:ln>
          </c:spPr>
          <c:marker>
            <c:symbol val="none"/>
          </c:marker>
          <c:dLbls>
            <c:dLbl>
              <c:idx val="0"/>
              <c:tx>
                <c:rich>
                  <a:bodyPr rot="-132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6000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7-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-7.0584590176513924</c:v>
              </c:pt>
            </c:numLit>
          </c:xVal>
          <c:yVal>
            <c:numLit>
              <c:formatCode>General</c:formatCode>
              <c:ptCount val="1"/>
              <c:pt idx="0">
                <c:v>1.6623499186213361E-2</c:v>
              </c:pt>
            </c:numLit>
          </c:yVal>
          <c:smooth val="0"/>
          <c:extLst>
            <c:ext xmlns:c16="http://schemas.microsoft.com/office/drawing/2014/chart" uri="{C3380CC4-5D6E-409C-BE32-E72D297353CC}">
              <c16:uniqueId val="{000000B8-2155-4DFF-8C0A-E03BB7E43D67}"/>
            </c:ext>
          </c:extLst>
        </c:ser>
        <c:ser>
          <c:idx val="152"/>
          <c:order val="152"/>
          <c:spPr>
            <a:ln w="3175">
              <a:solidFill>
                <a:srgbClr val="000000"/>
              </a:solidFill>
              <a:prstDash val="solid"/>
            </a:ln>
          </c:spPr>
          <c:marker>
            <c:symbol val="none"/>
          </c:marker>
          <c:xVal>
            <c:numLit>
              <c:formatCode>General</c:formatCode>
              <c:ptCount val="2"/>
              <c:pt idx="0">
                <c:v>-5.4251226750385708</c:v>
              </c:pt>
              <c:pt idx="1">
                <c:v>-5.7025610180751114</c:v>
              </c:pt>
            </c:numLit>
          </c:xVal>
          <c:yVal>
            <c:numLit>
              <c:formatCode>General</c:formatCode>
              <c:ptCount val="2"/>
              <c:pt idx="0">
                <c:v>1.6990252446736603E-2</c:v>
              </c:pt>
              <c:pt idx="1">
                <c:v>1.6905829284880956E-2</c:v>
              </c:pt>
            </c:numLit>
          </c:yVal>
          <c:smooth val="0"/>
          <c:extLst>
            <c:ext xmlns:c16="http://schemas.microsoft.com/office/drawing/2014/chart" uri="{C3380CC4-5D6E-409C-BE32-E72D297353CC}">
              <c16:uniqueId val="{000000B9-2155-4DFF-8C0A-E03BB7E43D67}"/>
            </c:ext>
          </c:extLst>
        </c:ser>
        <c:ser>
          <c:idx val="153"/>
          <c:order val="153"/>
          <c:spPr>
            <a:ln w="3175">
              <a:solidFill>
                <a:srgbClr val="000000"/>
              </a:solidFill>
              <a:prstDash val="solid"/>
            </a:ln>
          </c:spPr>
          <c:marker>
            <c:symbol val="none"/>
          </c:marker>
          <c:xVal>
            <c:numLit>
              <c:formatCode>General</c:formatCode>
              <c:ptCount val="2"/>
              <c:pt idx="0">
                <c:v>-5.3661582607451805</c:v>
              </c:pt>
              <c:pt idx="1">
                <c:v>-5.6423330806182914</c:v>
              </c:pt>
            </c:numLit>
          </c:xVal>
          <c:yVal>
            <c:numLit>
              <c:formatCode>General</c:formatCode>
              <c:ptCount val="2"/>
              <c:pt idx="0">
                <c:v>1.6885867994288942E-2</c:v>
              </c:pt>
              <c:pt idx="1">
                <c:v>1.6799208022737992E-2</c:v>
              </c:pt>
            </c:numLit>
          </c:yVal>
          <c:smooth val="0"/>
          <c:extLst>
            <c:ext xmlns:c16="http://schemas.microsoft.com/office/drawing/2014/chart" uri="{C3380CC4-5D6E-409C-BE32-E72D297353CC}">
              <c16:uniqueId val="{000000BA-2155-4DFF-8C0A-E03BB7E43D67}"/>
            </c:ext>
          </c:extLst>
        </c:ser>
        <c:ser>
          <c:idx val="154"/>
          <c:order val="154"/>
          <c:spPr>
            <a:ln w="3175">
              <a:solidFill>
                <a:srgbClr val="000000"/>
              </a:solidFill>
              <a:prstDash val="solid"/>
            </a:ln>
          </c:spPr>
          <c:marker>
            <c:symbol val="none"/>
          </c:marker>
          <c:xVal>
            <c:numLit>
              <c:formatCode>General</c:formatCode>
              <c:ptCount val="2"/>
              <c:pt idx="0">
                <c:v>-5.3023264552641391</c:v>
              </c:pt>
              <c:pt idx="1">
                <c:v>-5.5771334507340855</c:v>
              </c:pt>
            </c:numLit>
          </c:xVal>
          <c:yVal>
            <c:numLit>
              <c:formatCode>General</c:formatCode>
              <c:ptCount val="2"/>
              <c:pt idx="0">
                <c:v>1.677633856600267E-2</c:v>
              </c:pt>
              <c:pt idx="1">
                <c:v>1.6687331535274155E-2</c:v>
              </c:pt>
            </c:numLit>
          </c:yVal>
          <c:smooth val="0"/>
          <c:extLst>
            <c:ext xmlns:c16="http://schemas.microsoft.com/office/drawing/2014/chart" uri="{C3380CC4-5D6E-409C-BE32-E72D297353CC}">
              <c16:uniqueId val="{000000BB-2155-4DFF-8C0A-E03BB7E43D67}"/>
            </c:ext>
          </c:extLst>
        </c:ser>
        <c:ser>
          <c:idx val="155"/>
          <c:order val="155"/>
          <c:spPr>
            <a:ln w="3175">
              <a:solidFill>
                <a:srgbClr val="000000"/>
              </a:solidFill>
              <a:prstDash val="solid"/>
            </a:ln>
          </c:spPr>
          <c:marker>
            <c:symbol val="none"/>
          </c:marker>
          <c:xVal>
            <c:numLit>
              <c:formatCode>General</c:formatCode>
              <c:ptCount val="2"/>
              <c:pt idx="0">
                <c:v>-5.2331047854998651</c:v>
              </c:pt>
              <c:pt idx="1">
                <c:v>-5.5064284594748631</c:v>
              </c:pt>
            </c:numLit>
          </c:xVal>
          <c:yVal>
            <c:numLit>
              <c:formatCode>General</c:formatCode>
              <c:ptCount val="2"/>
              <c:pt idx="0">
                <c:v>1.6661325544174033E-2</c:v>
              </c:pt>
              <c:pt idx="1">
                <c:v>1.6569853948692048E-2</c:v>
              </c:pt>
            </c:numLit>
          </c:yVal>
          <c:smooth val="0"/>
          <c:extLst>
            <c:ext xmlns:c16="http://schemas.microsoft.com/office/drawing/2014/chart" uri="{C3380CC4-5D6E-409C-BE32-E72D297353CC}">
              <c16:uniqueId val="{000000BC-2155-4DFF-8C0A-E03BB7E43D67}"/>
            </c:ext>
          </c:extLst>
        </c:ser>
        <c:ser>
          <c:idx val="156"/>
          <c:order val="156"/>
          <c:spPr>
            <a:ln w="3175">
              <a:solidFill>
                <a:srgbClr val="000000"/>
              </a:solidFill>
              <a:prstDash val="solid"/>
            </a:ln>
          </c:spPr>
          <c:marker>
            <c:symbol val="none"/>
          </c:marker>
          <c:xVal>
            <c:numLit>
              <c:formatCode>General</c:formatCode>
              <c:ptCount val="2"/>
              <c:pt idx="0">
                <c:v>-5.1579032706065853</c:v>
              </c:pt>
              <c:pt idx="1">
                <c:v>-5.7013276964897246</c:v>
              </c:pt>
            </c:numLit>
          </c:xVal>
          <c:yVal>
            <c:numLit>
              <c:formatCode>General</c:formatCode>
              <c:ptCount val="2"/>
              <c:pt idx="0">
                <c:v>1.6540467071496829E-2</c:v>
              </c:pt>
              <c:pt idx="1">
                <c:v>1.6352344231703834E-2</c:v>
              </c:pt>
            </c:numLit>
          </c:yVal>
          <c:smooth val="0"/>
          <c:extLst>
            <c:ext xmlns:c16="http://schemas.microsoft.com/office/drawing/2014/chart" uri="{C3380CC4-5D6E-409C-BE32-E72D297353CC}">
              <c16:uniqueId val="{000000BD-2155-4DFF-8C0A-E03BB7E43D67}"/>
            </c:ext>
          </c:extLst>
        </c:ser>
        <c:ser>
          <c:idx val="157"/>
          <c:order val="157"/>
          <c:spPr>
            <a:ln w="3175">
              <a:solidFill>
                <a:srgbClr val="000000"/>
              </a:solidFill>
              <a:prstDash val="solid"/>
            </a:ln>
          </c:spPr>
          <c:marker>
            <c:symbol val="none"/>
          </c:marker>
          <c:dLbls>
            <c:dLbl>
              <c:idx val="0"/>
              <c:tx>
                <c:rich>
                  <a:bodyPr rot="-15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BE-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-6.6976058106088132</c:v>
              </c:pt>
            </c:numLit>
          </c:xVal>
          <c:yVal>
            <c:numLit>
              <c:formatCode>General</c:formatCode>
              <c:ptCount val="1"/>
              <c:pt idx="0">
                <c:v>1.6007452358750014E-2</c:v>
              </c:pt>
            </c:numLit>
          </c:yVal>
          <c:smooth val="0"/>
          <c:extLst>
            <c:ext xmlns:c16="http://schemas.microsoft.com/office/drawing/2014/chart" uri="{C3380CC4-5D6E-409C-BE32-E72D297353CC}">
              <c16:uniqueId val="{000000BF-2155-4DFF-8C0A-E03BB7E43D67}"/>
            </c:ext>
          </c:extLst>
        </c:ser>
        <c:ser>
          <c:idx val="158"/>
          <c:order val="158"/>
          <c:spPr>
            <a:ln w="3175">
              <a:solidFill>
                <a:srgbClr val="000000"/>
              </a:solidFill>
              <a:prstDash val="solid"/>
            </a:ln>
          </c:spPr>
          <c:marker>
            <c:symbol val="none"/>
          </c:marker>
          <c:xVal>
            <c:numLit>
              <c:formatCode>General</c:formatCode>
              <c:ptCount val="2"/>
              <c:pt idx="0">
                <c:v>-5.0760545707644287</c:v>
              </c:pt>
              <c:pt idx="1">
                <c:v>-5.3460128829950957</c:v>
              </c:pt>
            </c:numLit>
          </c:xVal>
          <c:yVal>
            <c:numLit>
              <c:formatCode>General</c:formatCode>
              <c:ptCount val="2"/>
              <c:pt idx="0">
                <c:v>1.6413377441842833E-2</c:v>
              </c:pt>
              <c:pt idx="1">
                <c:v>1.6316592672739466E-2</c:v>
              </c:pt>
            </c:numLit>
          </c:yVal>
          <c:smooth val="0"/>
          <c:extLst>
            <c:ext xmlns:c16="http://schemas.microsoft.com/office/drawing/2014/chart" uri="{C3380CC4-5D6E-409C-BE32-E72D297353CC}">
              <c16:uniqueId val="{000000C0-2155-4DFF-8C0A-E03BB7E43D67}"/>
            </c:ext>
          </c:extLst>
        </c:ser>
        <c:ser>
          <c:idx val="159"/>
          <c:order val="159"/>
          <c:spPr>
            <a:ln w="3175">
              <a:solidFill>
                <a:srgbClr val="000000"/>
              </a:solidFill>
              <a:prstDash val="solid"/>
            </a:ln>
          </c:spPr>
          <c:marker>
            <c:symbol val="none"/>
          </c:marker>
          <c:xVal>
            <c:numLit>
              <c:formatCode>General</c:formatCode>
              <c:ptCount val="2"/>
              <c:pt idx="0">
                <c:v>-4.9868026312391578</c:v>
              </c:pt>
              <c:pt idx="1">
                <c:v>-5.2548484019085686</c:v>
              </c:pt>
            </c:numLit>
          </c:xVal>
          <c:yVal>
            <c:numLit>
              <c:formatCode>General</c:formatCode>
              <c:ptCount val="2"/>
              <c:pt idx="0">
                <c:v>1.6279646915363419E-2</c:v>
              </c:pt>
              <c:pt idx="1">
                <c:v>1.6179996492121203E-2</c:v>
              </c:pt>
            </c:numLit>
          </c:yVal>
          <c:smooth val="0"/>
          <c:extLst>
            <c:ext xmlns:c16="http://schemas.microsoft.com/office/drawing/2014/chart" uri="{C3380CC4-5D6E-409C-BE32-E72D297353CC}">
              <c16:uniqueId val="{000000C1-2155-4DFF-8C0A-E03BB7E43D67}"/>
            </c:ext>
          </c:extLst>
        </c:ser>
        <c:ser>
          <c:idx val="160"/>
          <c:order val="160"/>
          <c:spPr>
            <a:ln w="3175">
              <a:solidFill>
                <a:srgbClr val="000000"/>
              </a:solidFill>
              <a:prstDash val="solid"/>
            </a:ln>
          </c:spPr>
          <c:marker>
            <c:symbol val="none"/>
          </c:marker>
          <c:xVal>
            <c:numLit>
              <c:formatCode>General</c:formatCode>
              <c:ptCount val="2"/>
              <c:pt idx="0">
                <c:v>-4.889289615730835</c:v>
              </c:pt>
              <c:pt idx="1">
                <c:v>-5.155245821782211</c:v>
              </c:pt>
            </c:numLit>
          </c:xVal>
          <c:yVal>
            <c:numLit>
              <c:formatCode>General</c:formatCode>
              <c:ptCount val="2"/>
              <c:pt idx="0">
                <c:v>1.6138842151410121E-2</c:v>
              </c:pt>
              <c:pt idx="1">
                <c:v>1.6036174483226053E-2</c:v>
              </c:pt>
            </c:numLit>
          </c:yVal>
          <c:smooth val="0"/>
          <c:extLst>
            <c:ext xmlns:c16="http://schemas.microsoft.com/office/drawing/2014/chart" uri="{C3380CC4-5D6E-409C-BE32-E72D297353CC}">
              <c16:uniqueId val="{000000C2-2155-4DFF-8C0A-E03BB7E43D67}"/>
            </c:ext>
          </c:extLst>
        </c:ser>
        <c:ser>
          <c:idx val="161"/>
          <c:order val="161"/>
          <c:spPr>
            <a:ln w="3175">
              <a:solidFill>
                <a:srgbClr val="000000"/>
              </a:solidFill>
              <a:prstDash val="solid"/>
            </a:ln>
          </c:spPr>
          <c:marker>
            <c:symbol val="none"/>
          </c:marker>
          <c:xVal>
            <c:numLit>
              <c:formatCode>General</c:formatCode>
              <c:ptCount val="2"/>
              <c:pt idx="0">
                <c:v>-4.7825409137469856</c:v>
              </c:pt>
              <c:pt idx="1">
                <c:v>-5.0462096476129927</c:v>
              </c:pt>
            </c:numLit>
          </c:xVal>
          <c:yVal>
            <c:numLit>
              <c:formatCode>General</c:formatCode>
              <c:ptCount val="2"/>
              <c:pt idx="0">
                <c:v>1.599050751826438E-2</c:v>
              </c:pt>
              <c:pt idx="1">
                <c:v>1.5884661250798619E-2</c:v>
              </c:pt>
            </c:numLit>
          </c:yVal>
          <c:smooth val="0"/>
          <c:extLst>
            <c:ext xmlns:c16="http://schemas.microsoft.com/office/drawing/2014/chart" uri="{C3380CC4-5D6E-409C-BE32-E72D297353CC}">
              <c16:uniqueId val="{000000C3-2155-4DFF-8C0A-E03BB7E43D67}"/>
            </c:ext>
          </c:extLst>
        </c:ser>
        <c:ser>
          <c:idx val="162"/>
          <c:order val="162"/>
          <c:spPr>
            <a:ln w="3175">
              <a:solidFill>
                <a:srgbClr val="000000"/>
              </a:solidFill>
              <a:prstDash val="solid"/>
            </a:ln>
          </c:spPr>
          <c:marker>
            <c:symbol val="none"/>
          </c:marker>
          <c:xVal>
            <c:numLit>
              <c:formatCode>General</c:formatCode>
              <c:ptCount val="2"/>
              <c:pt idx="0">
                <c:v>-4.6654480091532298</c:v>
              </c:pt>
              <c:pt idx="1">
                <c:v>-5.1877672095455107</c:v>
              </c:pt>
            </c:numLit>
          </c:xVal>
          <c:yVal>
            <c:numLit>
              <c:formatCode>General</c:formatCode>
              <c:ptCount val="2"/>
              <c:pt idx="0">
                <c:v>1.5834167623770514E-2</c:v>
              </c:pt>
              <c:pt idx="1">
                <c:v>1.5615774807646391E-2</c:v>
              </c:pt>
            </c:numLit>
          </c:yVal>
          <c:smooth val="0"/>
          <c:extLst>
            <c:ext xmlns:c16="http://schemas.microsoft.com/office/drawing/2014/chart" uri="{C3380CC4-5D6E-409C-BE32-E72D297353CC}">
              <c16:uniqueId val="{000000C4-2155-4DFF-8C0A-E03BB7E43D67}"/>
            </c:ext>
          </c:extLst>
        </c:ser>
        <c:ser>
          <c:idx val="163"/>
          <c:order val="163"/>
          <c:spPr>
            <a:ln w="3175">
              <a:solidFill>
                <a:srgbClr val="000000"/>
              </a:solidFill>
              <a:prstDash val="solid"/>
            </a:ln>
          </c:spPr>
          <c:marker>
            <c:symbol val="none"/>
          </c:marker>
          <c:dLbls>
            <c:dLbl>
              <c:idx val="0"/>
              <c:tx>
                <c:rich>
                  <a:bodyPr rot="-17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5000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5-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-6.1453524102646933</c:v>
              </c:pt>
            </c:numLit>
          </c:xVal>
          <c:yVal>
            <c:numLit>
              <c:formatCode>General</c:formatCode>
              <c:ptCount val="1"/>
              <c:pt idx="0">
                <c:v>1.5215387978085504E-2</c:v>
              </c:pt>
            </c:numLit>
          </c:yVal>
          <c:smooth val="0"/>
          <c:extLst>
            <c:ext xmlns:c16="http://schemas.microsoft.com/office/drawing/2014/chart" uri="{C3380CC4-5D6E-409C-BE32-E72D297353CC}">
              <c16:uniqueId val="{000000C6-2155-4DFF-8C0A-E03BB7E43D67}"/>
            </c:ext>
          </c:extLst>
        </c:ser>
        <c:ser>
          <c:idx val="164"/>
          <c:order val="164"/>
          <c:spPr>
            <a:ln w="3175">
              <a:solidFill>
                <a:srgbClr val="000000"/>
              </a:solidFill>
              <a:prstDash val="solid"/>
            </a:ln>
          </c:spPr>
          <c:marker>
            <c:symbol val="none"/>
          </c:marker>
          <c:xVal>
            <c:numLit>
              <c:formatCode>General</c:formatCode>
              <c:ptCount val="2"/>
              <c:pt idx="0">
                <c:v>-4.5367490194500562</c:v>
              </c:pt>
              <c:pt idx="1">
                <c:v>-4.7951507841525576</c:v>
              </c:pt>
            </c:numLit>
          </c:xVal>
          <c:yVal>
            <c:numLit>
              <c:formatCode>General</c:formatCode>
              <c:ptCount val="2"/>
              <c:pt idx="0">
                <c:v>1.5669331520569488E-2</c:v>
              </c:pt>
              <c:pt idx="1">
                <c:v>1.5556602910295978E-2</c:v>
              </c:pt>
            </c:numLit>
          </c:yVal>
          <c:smooth val="0"/>
          <c:extLst>
            <c:ext xmlns:c16="http://schemas.microsoft.com/office/drawing/2014/chart" uri="{C3380CC4-5D6E-409C-BE32-E72D297353CC}">
              <c16:uniqueId val="{000000C7-2155-4DFF-8C0A-E03BB7E43D67}"/>
            </c:ext>
          </c:extLst>
        </c:ser>
        <c:ser>
          <c:idx val="165"/>
          <c:order val="165"/>
          <c:spPr>
            <a:ln w="3175">
              <a:solidFill>
                <a:srgbClr val="000000"/>
              </a:solidFill>
              <a:prstDash val="solid"/>
            </a:ln>
          </c:spPr>
          <c:marker>
            <c:symbol val="none"/>
          </c:marker>
          <c:xVal>
            <c:numLit>
              <c:formatCode>General</c:formatCode>
              <c:ptCount val="2"/>
              <c:pt idx="0">
                <c:v>-4.3950067701211761</c:v>
              </c:pt>
              <c:pt idx="1">
                <c:v>-4.650371200909488</c:v>
              </c:pt>
            </c:numLit>
          </c:xVal>
          <c:yVal>
            <c:numLit>
              <c:formatCode>General</c:formatCode>
              <c:ptCount val="2"/>
              <c:pt idx="0">
                <c:v>1.5495499179174118E-2</c:v>
              </c:pt>
              <c:pt idx="1">
                <c:v>1.5379045590156421E-2</c:v>
              </c:pt>
            </c:numLit>
          </c:yVal>
          <c:smooth val="0"/>
          <c:extLst>
            <c:ext xmlns:c16="http://schemas.microsoft.com/office/drawing/2014/chart" uri="{C3380CC4-5D6E-409C-BE32-E72D297353CC}">
              <c16:uniqueId val="{000000C8-2155-4DFF-8C0A-E03BB7E43D67}"/>
            </c:ext>
          </c:extLst>
        </c:ser>
        <c:ser>
          <c:idx val="166"/>
          <c:order val="166"/>
          <c:spPr>
            <a:ln w="3175">
              <a:solidFill>
                <a:srgbClr val="000000"/>
              </a:solidFill>
              <a:prstDash val="solid"/>
            </a:ln>
          </c:spPr>
          <c:marker>
            <c:symbol val="none"/>
          </c:marker>
          <c:xVal>
            <c:numLit>
              <c:formatCode>General</c:formatCode>
              <c:ptCount val="2"/>
              <c:pt idx="0">
                <c:v>-4.2385843738412259</c:v>
              </c:pt>
              <c:pt idx="1">
                <c:v>-4.4905968961378235</c:v>
              </c:pt>
            </c:numLit>
          </c:xVal>
          <c:yVal>
            <c:numLit>
              <c:formatCode>General</c:formatCode>
              <c:ptCount val="2"/>
              <c:pt idx="0">
                <c:v>1.5312170997110987E-2</c:v>
              </c:pt>
              <c:pt idx="1">
                <c:v>1.5191788947049081E-2</c:v>
              </c:pt>
            </c:numLit>
          </c:yVal>
          <c:smooth val="0"/>
          <c:extLst>
            <c:ext xmlns:c16="http://schemas.microsoft.com/office/drawing/2014/chart" uri="{C3380CC4-5D6E-409C-BE32-E72D297353CC}">
              <c16:uniqueId val="{000000C9-2155-4DFF-8C0A-E03BB7E43D67}"/>
            </c:ext>
          </c:extLst>
        </c:ser>
        <c:ser>
          <c:idx val="167"/>
          <c:order val="167"/>
          <c:spPr>
            <a:ln w="3175">
              <a:solidFill>
                <a:srgbClr val="000000"/>
              </a:solidFill>
              <a:prstDash val="solid"/>
            </a:ln>
          </c:spPr>
          <c:marker>
            <c:symbol val="none"/>
          </c:marker>
          <c:xVal>
            <c:numLit>
              <c:formatCode>General</c:formatCode>
              <c:ptCount val="2"/>
              <c:pt idx="0">
                <c:v>-4.0656184666577015</c:v>
              </c:pt>
              <c:pt idx="1">
                <c:v>-4.3139245766575094</c:v>
              </c:pt>
            </c:numLit>
          </c:xVal>
          <c:yVal>
            <c:numLit>
              <c:formatCode>General</c:formatCode>
              <c:ptCount val="2"/>
              <c:pt idx="0">
                <c:v>1.5118861327289309E-2</c:v>
              </c:pt>
              <c:pt idx="1">
                <c:v>1.4994336927159794E-2</c:v>
              </c:pt>
            </c:numLit>
          </c:yVal>
          <c:smooth val="0"/>
          <c:extLst>
            <c:ext xmlns:c16="http://schemas.microsoft.com/office/drawing/2014/chart" uri="{C3380CC4-5D6E-409C-BE32-E72D297353CC}">
              <c16:uniqueId val="{000000CA-2155-4DFF-8C0A-E03BB7E43D67}"/>
            </c:ext>
          </c:extLst>
        </c:ser>
        <c:ser>
          <c:idx val="168"/>
          <c:order val="168"/>
          <c:spPr>
            <a:ln w="3175">
              <a:solidFill>
                <a:srgbClr val="000000"/>
              </a:solidFill>
              <a:prstDash val="solid"/>
            </a:ln>
          </c:spPr>
          <c:marker>
            <c:symbol val="none"/>
          </c:marker>
          <c:xVal>
            <c:numLit>
              <c:formatCode>General</c:formatCode>
              <c:ptCount val="2"/>
              <c:pt idx="0">
                <c:v>-3.8739905493226741</c:v>
              </c:pt>
              <c:pt idx="1">
                <c:v>-4.3623901442936459</c:v>
              </c:pt>
            </c:numLit>
          </c:xVal>
          <c:yVal>
            <c:numLit>
              <c:formatCode>General</c:formatCode>
              <c:ptCount val="2"/>
              <c:pt idx="0">
                <c:v>1.4915117265152884E-2</c:v>
              </c:pt>
              <c:pt idx="1">
                <c:v>1.4657336576516579E-2</c:v>
              </c:pt>
            </c:numLit>
          </c:yVal>
          <c:smooth val="0"/>
          <c:extLst>
            <c:ext xmlns:c16="http://schemas.microsoft.com/office/drawing/2014/chart" uri="{C3380CC4-5D6E-409C-BE32-E72D297353CC}">
              <c16:uniqueId val="{000000CB-2155-4DFF-8C0A-E03BB7E43D67}"/>
            </c:ext>
          </c:extLst>
        </c:ser>
        <c:ser>
          <c:idx val="169"/>
          <c:order val="169"/>
          <c:spPr>
            <a:ln w="3175">
              <a:solidFill>
                <a:srgbClr val="000000"/>
              </a:solidFill>
              <a:prstDash val="solid"/>
            </a:ln>
          </c:spPr>
          <c:marker>
            <c:symbol val="none"/>
          </c:marker>
          <c:dLbls>
            <c:dLbl>
              <c:idx val="0"/>
              <c:tx>
                <c:rich>
                  <a:bodyPr rot="-216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4500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CC-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-5.2577894017404265</c:v>
              </c:pt>
            </c:numLit>
          </c:xVal>
          <c:yVal>
            <c:numLit>
              <c:formatCode>General</c:formatCode>
              <c:ptCount val="1"/>
              <c:pt idx="0">
                <c:v>1.418473864735002E-2</c:v>
              </c:pt>
            </c:numLit>
          </c:yVal>
          <c:smooth val="0"/>
          <c:extLst>
            <c:ext xmlns:c16="http://schemas.microsoft.com/office/drawing/2014/chart" uri="{C3380CC4-5D6E-409C-BE32-E72D297353CC}">
              <c16:uniqueId val="{000000CD-2155-4DFF-8C0A-E03BB7E43D67}"/>
            </c:ext>
          </c:extLst>
        </c:ser>
        <c:ser>
          <c:idx val="170"/>
          <c:order val="170"/>
          <c:spPr>
            <a:ln w="3175">
              <a:solidFill>
                <a:srgbClr val="000000"/>
              </a:solidFill>
              <a:prstDash val="solid"/>
            </a:ln>
          </c:spPr>
          <c:marker>
            <c:symbol val="none"/>
          </c:marker>
          <c:xVal>
            <c:numLit>
              <c:formatCode>General</c:formatCode>
              <c:ptCount val="2"/>
              <c:pt idx="0">
                <c:v>-3.7704392439481627</c:v>
              </c:pt>
              <c:pt idx="1">
                <c:v>-4.0124200848899099</c:v>
              </c:pt>
            </c:numLit>
          </c:xVal>
          <c:yVal>
            <c:numLit>
              <c:formatCode>General</c:formatCode>
              <c:ptCount val="2"/>
              <c:pt idx="0">
                <c:v>1.4809205883937578E-2</c:v>
              </c:pt>
              <c:pt idx="1">
                <c:v>1.4678046010021956E-2</c:v>
              </c:pt>
            </c:numLit>
          </c:yVal>
          <c:smooth val="0"/>
          <c:extLst>
            <c:ext xmlns:c16="http://schemas.microsoft.com/office/drawing/2014/chart" uri="{C3380CC4-5D6E-409C-BE32-E72D297353CC}">
              <c16:uniqueId val="{000000CE-2155-4DFF-8C0A-E03BB7E43D67}"/>
            </c:ext>
          </c:extLst>
        </c:ser>
        <c:ser>
          <c:idx val="171"/>
          <c:order val="171"/>
          <c:spPr>
            <a:ln w="3175">
              <a:solidFill>
                <a:srgbClr val="000000"/>
              </a:solidFill>
              <a:prstDash val="solid"/>
            </a:ln>
          </c:spPr>
          <c:marker>
            <c:symbol val="none"/>
          </c:marker>
          <c:xVal>
            <c:numLit>
              <c:formatCode>General</c:formatCode>
              <c:ptCount val="2"/>
              <c:pt idx="0">
                <c:v>-3.6612973419810073</c:v>
              </c:pt>
              <c:pt idx="1">
                <c:v>-4.1405815137801936</c:v>
              </c:pt>
            </c:numLit>
          </c:xVal>
          <c:yVal>
            <c:numLit>
              <c:formatCode>General</c:formatCode>
              <c:ptCount val="2"/>
              <c:pt idx="0">
                <c:v>1.4700544227002829E-2</c:v>
              </c:pt>
              <c:pt idx="1">
                <c:v>1.4433567551017237E-2</c:v>
              </c:pt>
            </c:numLit>
          </c:yVal>
          <c:smooth val="0"/>
          <c:extLst>
            <c:ext xmlns:c16="http://schemas.microsoft.com/office/drawing/2014/chart" uri="{C3380CC4-5D6E-409C-BE32-E72D297353CC}">
              <c16:uniqueId val="{000000CF-2155-4DFF-8C0A-E03BB7E43D67}"/>
            </c:ext>
          </c:extLst>
        </c:ser>
        <c:ser>
          <c:idx val="172"/>
          <c:order val="172"/>
          <c:spPr>
            <a:ln w="3175">
              <a:solidFill>
                <a:srgbClr val="000000"/>
              </a:solidFill>
              <a:prstDash val="solid"/>
            </a:ln>
          </c:spPr>
          <c:marker>
            <c:symbol val="none"/>
          </c:marker>
          <c:xVal>
            <c:numLit>
              <c:formatCode>General</c:formatCode>
              <c:ptCount val="2"/>
              <c:pt idx="0">
                <c:v>-3.5462151642748525</c:v>
              </c:pt>
              <c:pt idx="1">
                <c:v>-3.7833912035093142</c:v>
              </c:pt>
            </c:numLit>
          </c:xVal>
          <c:yVal>
            <c:numLit>
              <c:formatCode>General</c:formatCode>
              <c:ptCount val="2"/>
              <c:pt idx="0">
                <c:v>1.4589097690626144E-2</c:v>
              </c:pt>
              <c:pt idx="1">
                <c:v>1.4453221212568132E-2</c:v>
              </c:pt>
            </c:numLit>
          </c:yVal>
          <c:smooth val="0"/>
          <c:extLst>
            <c:ext xmlns:c16="http://schemas.microsoft.com/office/drawing/2014/chart" uri="{C3380CC4-5D6E-409C-BE32-E72D297353CC}">
              <c16:uniqueId val="{000000D0-2155-4DFF-8C0A-E03BB7E43D67}"/>
            </c:ext>
          </c:extLst>
        </c:ser>
        <c:ser>
          <c:idx val="173"/>
          <c:order val="173"/>
          <c:spPr>
            <a:ln w="3175">
              <a:solidFill>
                <a:srgbClr val="000000"/>
              </a:solidFill>
              <a:prstDash val="solid"/>
            </a:ln>
          </c:spPr>
          <c:marker>
            <c:symbol val="none"/>
          </c:marker>
          <c:xVal>
            <c:numLit>
              <c:formatCode>General</c:formatCode>
              <c:ptCount val="2"/>
              <c:pt idx="0">
                <c:v>-3.4248217502543765</c:v>
              </c:pt>
              <c:pt idx="1">
                <c:v>-3.8939712538367064</c:v>
              </c:pt>
            </c:numLit>
          </c:xVal>
          <c:yVal>
            <c:numLit>
              <c:formatCode>General</c:formatCode>
              <c:ptCount val="2"/>
              <c:pt idx="0">
                <c:v>1.4474840163683531E-2</c:v>
              </c:pt>
              <c:pt idx="1">
                <c:v>1.4198190456412825E-2</c:v>
              </c:pt>
            </c:numLit>
          </c:yVal>
          <c:smooth val="0"/>
          <c:extLst>
            <c:ext xmlns:c16="http://schemas.microsoft.com/office/drawing/2014/chart" uri="{C3380CC4-5D6E-409C-BE32-E72D297353CC}">
              <c16:uniqueId val="{000000D1-2155-4DFF-8C0A-E03BB7E43D67}"/>
            </c:ext>
          </c:extLst>
        </c:ser>
        <c:ser>
          <c:idx val="174"/>
          <c:order val="174"/>
          <c:spPr>
            <a:ln w="3175">
              <a:solidFill>
                <a:srgbClr val="000000"/>
              </a:solidFill>
              <a:prstDash val="solid"/>
            </a:ln>
          </c:spPr>
          <c:marker>
            <c:symbol val="none"/>
          </c:marker>
          <c:xVal>
            <c:numLit>
              <c:formatCode>General</c:formatCode>
              <c:ptCount val="2"/>
              <c:pt idx="0">
                <c:v>-3.2967241795418643</c:v>
              </c:pt>
              <c:pt idx="1">
                <c:v>-3.5285539833891901</c:v>
              </c:pt>
            </c:numLit>
          </c:xVal>
          <c:yVal>
            <c:numLit>
              <c:formatCode>General</c:formatCode>
              <c:ptCount val="2"/>
              <c:pt idx="0">
                <c:v>1.4357755721848364E-2</c:v>
              </c:pt>
              <c:pt idx="1">
                <c:v>1.421692191588797E-2</c:v>
              </c:pt>
            </c:numLit>
          </c:yVal>
          <c:smooth val="0"/>
          <c:extLst>
            <c:ext xmlns:c16="http://schemas.microsoft.com/office/drawing/2014/chart" uri="{C3380CC4-5D6E-409C-BE32-E72D297353CC}">
              <c16:uniqueId val="{000000D2-2155-4DFF-8C0A-E03BB7E43D67}"/>
            </c:ext>
          </c:extLst>
        </c:ser>
        <c:ser>
          <c:idx val="175"/>
          <c:order val="175"/>
          <c:spPr>
            <a:ln w="3175">
              <a:solidFill>
                <a:srgbClr val="000000"/>
              </a:solidFill>
              <a:prstDash val="solid"/>
            </a:ln>
          </c:spPr>
          <c:marker>
            <c:symbol val="none"/>
          </c:marker>
          <c:xVal>
            <c:numLit>
              <c:formatCode>General</c:formatCode>
              <c:ptCount val="2"/>
              <c:pt idx="0">
                <c:v>-3.1615070418306956</c:v>
              </c:pt>
              <c:pt idx="1">
                <c:v>-3.6193716293377252</c:v>
              </c:pt>
            </c:numLit>
          </c:xVal>
          <c:yVal>
            <c:numLit>
              <c:formatCode>General</c:formatCode>
              <c:ptCount val="2"/>
              <c:pt idx="0">
                <c:v>1.4237840545403689E-2</c:v>
              </c:pt>
              <c:pt idx="1">
                <c:v>1.3951033711635275E-2</c:v>
              </c:pt>
            </c:numLit>
          </c:yVal>
          <c:smooth val="0"/>
          <c:extLst>
            <c:ext xmlns:c16="http://schemas.microsoft.com/office/drawing/2014/chart" uri="{C3380CC4-5D6E-409C-BE32-E72D297353CC}">
              <c16:uniqueId val="{000000D3-2155-4DFF-8C0A-E03BB7E43D67}"/>
            </c:ext>
          </c:extLst>
        </c:ser>
        <c:ser>
          <c:idx val="176"/>
          <c:order val="176"/>
          <c:spPr>
            <a:ln w="3175">
              <a:solidFill>
                <a:srgbClr val="000000"/>
              </a:solidFill>
              <a:prstDash val="solid"/>
            </a:ln>
          </c:spPr>
          <c:marker>
            <c:symbol val="none"/>
          </c:marker>
          <c:dLbls>
            <c:dLbl>
              <c:idx val="0"/>
              <c:tx>
                <c:rich>
                  <a:bodyPr rot="-240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4200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D4-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-4.4587900397672797</c:v>
              </c:pt>
            </c:numLit>
          </c:xVal>
          <c:yVal>
            <c:numLit>
              <c:formatCode>General</c:formatCode>
              <c:ptCount val="1"/>
              <c:pt idx="0">
                <c:v>1.3425221183059851E-2</c:v>
              </c:pt>
            </c:numLit>
          </c:yVal>
          <c:smooth val="0"/>
          <c:extLst>
            <c:ext xmlns:c16="http://schemas.microsoft.com/office/drawing/2014/chart" uri="{C3380CC4-5D6E-409C-BE32-E72D297353CC}">
              <c16:uniqueId val="{000000D5-2155-4DFF-8C0A-E03BB7E43D67}"/>
            </c:ext>
          </c:extLst>
        </c:ser>
        <c:ser>
          <c:idx val="177"/>
          <c:order val="177"/>
          <c:spPr>
            <a:ln w="3175">
              <a:solidFill>
                <a:srgbClr val="000000"/>
              </a:solidFill>
              <a:prstDash val="solid"/>
            </a:ln>
          </c:spPr>
          <c:marker>
            <c:symbol val="none"/>
          </c:marker>
          <c:xVal>
            <c:numLit>
              <c:formatCode>General</c:formatCode>
              <c:ptCount val="2"/>
              <c:pt idx="0">
                <c:v>-3.0187321044678757</c:v>
              </c:pt>
              <c:pt idx="1">
                <c:v>-3.2446049352779021</c:v>
              </c:pt>
            </c:numLit>
          </c:xVal>
          <c:yVal>
            <c:numLit>
              <c:formatCode>General</c:formatCode>
              <c:ptCount val="2"/>
              <c:pt idx="0">
                <c:v>1.4115105078987998E-2</c:v>
              </c:pt>
              <c:pt idx="1">
                <c:v>1.3969071616394883E-2</c:v>
              </c:pt>
            </c:numLit>
          </c:yVal>
          <c:smooth val="0"/>
          <c:extLst>
            <c:ext xmlns:c16="http://schemas.microsoft.com/office/drawing/2014/chart" uri="{C3380CC4-5D6E-409C-BE32-E72D297353CC}">
              <c16:uniqueId val="{000000D6-2155-4DFF-8C0A-E03BB7E43D67}"/>
            </c:ext>
          </c:extLst>
        </c:ser>
        <c:ser>
          <c:idx val="178"/>
          <c:order val="178"/>
          <c:spPr>
            <a:ln w="3175">
              <a:solidFill>
                <a:srgbClr val="000000"/>
              </a:solidFill>
              <a:prstDash val="solid"/>
            </a:ln>
          </c:spPr>
          <c:marker>
            <c:symbol val="none"/>
          </c:marker>
          <c:xVal>
            <c:numLit>
              <c:formatCode>General</c:formatCode>
              <c:ptCount val="2"/>
              <c:pt idx="0">
                <c:v>-2.8679382367257746</c:v>
              </c:pt>
              <c:pt idx="1">
                <c:v>-3.3132213040140215</c:v>
              </c:pt>
            </c:numLit>
          </c:xVal>
          <c:yVal>
            <c:numLit>
              <c:formatCode>General</c:formatCode>
              <c:ptCount val="2"/>
              <c:pt idx="0">
                <c:v>1.3989576450102176E-2</c:v>
              </c:pt>
              <c:pt idx="1">
                <c:v>1.3692129726535128E-2</c:v>
              </c:pt>
            </c:numLit>
          </c:yVal>
          <c:smooth val="0"/>
          <c:extLst>
            <c:ext xmlns:c16="http://schemas.microsoft.com/office/drawing/2014/chart" uri="{C3380CC4-5D6E-409C-BE32-E72D297353CC}">
              <c16:uniqueId val="{000000D7-2155-4DFF-8C0A-E03BB7E43D67}"/>
            </c:ext>
          </c:extLst>
        </c:ser>
        <c:ser>
          <c:idx val="179"/>
          <c:order val="179"/>
          <c:spPr>
            <a:ln w="3175">
              <a:solidFill>
                <a:srgbClr val="000000"/>
              </a:solidFill>
              <a:prstDash val="solid"/>
            </a:ln>
          </c:spPr>
          <c:marker>
            <c:symbol val="none"/>
          </c:marker>
          <c:xVal>
            <c:numLit>
              <c:formatCode>General</c:formatCode>
              <c:ptCount val="2"/>
              <c:pt idx="0">
                <c:v>-2.7086416603368892</c:v>
              </c:pt>
              <c:pt idx="1">
                <c:v>-2.9278696959155375</c:v>
              </c:pt>
            </c:numLit>
          </c:xVal>
          <c:yVal>
            <c:numLit>
              <c:formatCode>General</c:formatCode>
              <c:ptCount val="2"/>
              <c:pt idx="0">
                <c:v>1.3861301160508996E-2</c:v>
              </c:pt>
              <c:pt idx="1">
                <c:v>1.3709829042519902E-2</c:v>
              </c:pt>
            </c:numLit>
          </c:yVal>
          <c:smooth val="0"/>
          <c:extLst>
            <c:ext xmlns:c16="http://schemas.microsoft.com/office/drawing/2014/chart" uri="{C3380CC4-5D6E-409C-BE32-E72D297353CC}">
              <c16:uniqueId val="{000000D8-2155-4DFF-8C0A-E03BB7E43D67}"/>
            </c:ext>
          </c:extLst>
        </c:ser>
        <c:ser>
          <c:idx val="180"/>
          <c:order val="180"/>
          <c:spPr>
            <a:ln w="3175">
              <a:solidFill>
                <a:srgbClr val="000000"/>
              </a:solidFill>
              <a:prstDash val="solid"/>
            </a:ln>
          </c:spPr>
          <c:marker>
            <c:symbol val="none"/>
          </c:marker>
          <c:xVal>
            <c:numLit>
              <c:formatCode>General</c:formatCode>
              <c:ptCount val="2"/>
              <c:pt idx="0">
                <c:v>-2.5403366074235816</c:v>
              </c:pt>
              <c:pt idx="1">
                <c:v>-2.9715796048845915</c:v>
              </c:pt>
            </c:numLit>
          </c:xVal>
          <c:yVal>
            <c:numLit>
              <c:formatCode>General</c:formatCode>
              <c:ptCount val="2"/>
              <c:pt idx="0">
                <c:v>1.3730348060406742E-2</c:v>
              </c:pt>
              <c:pt idx="1">
                <c:v>1.3421791548709889E-2</c:v>
              </c:pt>
            </c:numLit>
          </c:yVal>
          <c:smooth val="0"/>
          <c:extLst>
            <c:ext xmlns:c16="http://schemas.microsoft.com/office/drawing/2014/chart" uri="{C3380CC4-5D6E-409C-BE32-E72D297353CC}">
              <c16:uniqueId val="{000000D9-2155-4DFF-8C0A-E03BB7E43D67}"/>
            </c:ext>
          </c:extLst>
        </c:ser>
        <c:ser>
          <c:idx val="181"/>
          <c:order val="181"/>
          <c:spPr>
            <a:ln w="3175">
              <a:solidFill>
                <a:srgbClr val="000000"/>
              </a:solidFill>
              <a:prstDash val="solid"/>
            </a:ln>
          </c:spPr>
          <c:marker>
            <c:symbol val="none"/>
          </c:marker>
          <c:dLbls>
            <c:dLbl>
              <c:idx val="0"/>
              <c:tx>
                <c:rich>
                  <a:bodyPr rot="-264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4000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DA-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-3.7621917668964442</c:v>
              </c:pt>
            </c:numLit>
          </c:xVal>
          <c:yVal>
            <c:numLit>
              <c:formatCode>General</c:formatCode>
              <c:ptCount val="1"/>
              <c:pt idx="0">
                <c:v>1.285610461059899E-2</c:v>
              </c:pt>
            </c:numLit>
          </c:yVal>
          <c:smooth val="0"/>
          <c:extLst>
            <c:ext xmlns:c16="http://schemas.microsoft.com/office/drawing/2014/chart" uri="{C3380CC4-5D6E-409C-BE32-E72D297353CC}">
              <c16:uniqueId val="{000000DB-2155-4DFF-8C0A-E03BB7E43D67}"/>
            </c:ext>
          </c:extLst>
        </c:ser>
        <c:ser>
          <c:idx val="182"/>
          <c:order val="182"/>
          <c:spPr>
            <a:ln w="3175">
              <a:solidFill>
                <a:srgbClr val="000000"/>
              </a:solidFill>
              <a:prstDash val="solid"/>
            </a:ln>
          </c:spPr>
          <c:marker>
            <c:symbol val="none"/>
          </c:marker>
          <c:xVal>
            <c:numLit>
              <c:formatCode>General</c:formatCode>
              <c:ptCount val="2"/>
              <c:pt idx="0">
                <c:v>-2.3624964792520693</c:v>
              </c:pt>
              <c:pt idx="1">
                <c:v>-2.5743071180931856</c:v>
              </c:pt>
            </c:numLit>
          </c:xVal>
          <c:yVal>
            <c:numLit>
              <c:formatCode>General</c:formatCode>
              <c:ptCount val="2"/>
              <c:pt idx="0">
                <c:v>1.3596811609050458E-2</c:v>
              </c:pt>
              <c:pt idx="1">
                <c:v>1.3439671857815824E-2</c:v>
              </c:pt>
            </c:numLit>
          </c:yVal>
          <c:smooth val="0"/>
          <c:extLst>
            <c:ext xmlns:c16="http://schemas.microsoft.com/office/drawing/2014/chart" uri="{C3380CC4-5D6E-409C-BE32-E72D297353CC}">
              <c16:uniqueId val="{000000DC-2155-4DFF-8C0A-E03BB7E43D67}"/>
            </c:ext>
          </c:extLst>
        </c:ser>
        <c:ser>
          <c:idx val="183"/>
          <c:order val="183"/>
          <c:spPr>
            <a:ln w="3175">
              <a:solidFill>
                <a:srgbClr val="000000"/>
              </a:solidFill>
              <a:prstDash val="solid"/>
            </a:ln>
          </c:spPr>
          <c:marker>
            <c:symbol val="none"/>
          </c:marker>
          <c:xVal>
            <c:numLit>
              <c:formatCode>General</c:formatCode>
              <c:ptCount val="2"/>
              <c:pt idx="0">
                <c:v>-2.1745756118950066</c:v>
              </c:pt>
              <c:pt idx="1">
                <c:v>-2.5901431381190783</c:v>
              </c:pt>
            </c:numLit>
          </c:xVal>
          <c:yVal>
            <c:numLit>
              <c:formatCode>General</c:formatCode>
              <c:ptCount val="2"/>
              <c:pt idx="0">
                <c:v>1.3460815416871075E-2</c:v>
              </c:pt>
              <c:pt idx="1">
                <c:v>1.314070750616555E-2</c:v>
              </c:pt>
            </c:numLit>
          </c:yVal>
          <c:smooth val="0"/>
          <c:extLst>
            <c:ext xmlns:c16="http://schemas.microsoft.com/office/drawing/2014/chart" uri="{C3380CC4-5D6E-409C-BE32-E72D297353CC}">
              <c16:uniqueId val="{000000DD-2155-4DFF-8C0A-E03BB7E43D67}"/>
            </c:ext>
          </c:extLst>
        </c:ser>
        <c:ser>
          <c:idx val="184"/>
          <c:order val="184"/>
          <c:spPr>
            <a:ln w="3175">
              <a:solidFill>
                <a:srgbClr val="000000"/>
              </a:solidFill>
              <a:prstDash val="solid"/>
            </a:ln>
          </c:spPr>
          <c:marker>
            <c:symbol val="none"/>
          </c:marker>
          <c:xVal>
            <c:numLit>
              <c:formatCode>General</c:formatCode>
              <c:ptCount val="2"/>
              <c:pt idx="0">
                <c:v>-1.9760117673163591</c:v>
              </c:pt>
              <c:pt idx="1">
                <c:v>-2.17954059090171</c:v>
              </c:pt>
            </c:numLit>
          </c:xVal>
          <c:yVal>
            <c:numLit>
              <c:formatCode>General</c:formatCode>
              <c:ptCount val="2"/>
              <c:pt idx="0">
                <c:v>1.3322516052611264E-2</c:v>
              </c:pt>
              <c:pt idx="1">
                <c:v>1.3159498539452934E-2</c:v>
              </c:pt>
            </c:numLit>
          </c:yVal>
          <c:smooth val="0"/>
          <c:extLst>
            <c:ext xmlns:c16="http://schemas.microsoft.com/office/drawing/2014/chart" uri="{C3380CC4-5D6E-409C-BE32-E72D297353CC}">
              <c16:uniqueId val="{000000DE-2155-4DFF-8C0A-E03BB7E43D67}"/>
            </c:ext>
          </c:extLst>
        </c:ser>
        <c:ser>
          <c:idx val="185"/>
          <c:order val="185"/>
          <c:spPr>
            <a:ln w="3175">
              <a:solidFill>
                <a:srgbClr val="000000"/>
              </a:solidFill>
              <a:prstDash val="solid"/>
            </a:ln>
          </c:spPr>
          <c:marker>
            <c:symbol val="none"/>
          </c:marker>
          <c:xVal>
            <c:numLit>
              <c:formatCode>General</c:formatCode>
              <c:ptCount val="2"/>
              <c:pt idx="0">
                <c:v>-1.7662294797563944</c:v>
              </c:pt>
              <c:pt idx="1">
                <c:v>-2.1642964574602397</c:v>
              </c:pt>
            </c:numLit>
          </c:xVal>
          <c:yVal>
            <c:numLit>
              <c:formatCode>General</c:formatCode>
              <c:ptCount val="2"/>
              <c:pt idx="0">
                <c:v>1.318210708405064E-2</c:v>
              </c:pt>
              <c:pt idx="1">
                <c:v>1.2850054530509953E-2</c:v>
              </c:pt>
            </c:numLit>
          </c:yVal>
          <c:smooth val="0"/>
          <c:extLst>
            <c:ext xmlns:c16="http://schemas.microsoft.com/office/drawing/2014/chart" uri="{C3380CC4-5D6E-409C-BE32-E72D297353CC}">
              <c16:uniqueId val="{000000DF-2155-4DFF-8C0A-E03BB7E43D67}"/>
            </c:ext>
          </c:extLst>
        </c:ser>
        <c:ser>
          <c:idx val="186"/>
          <c:order val="186"/>
          <c:spPr>
            <a:ln w="3175">
              <a:solidFill>
                <a:srgbClr val="000000"/>
              </a:solidFill>
              <a:prstDash val="solid"/>
            </a:ln>
          </c:spPr>
          <c:marker>
            <c:symbol val="none"/>
          </c:marker>
          <c:dLbls>
            <c:dLbl>
              <c:idx val="0"/>
              <c:tx>
                <c:rich>
                  <a:bodyPr rot="-2880000" vert="horz" wrap="square" lIns="38100" tIns="19050" rIns="38100" bIns="19050" anchor="ctr">
                    <a:spAutoFit/>
                  </a:bodyPr>
                  <a:lstStyle/>
                  <a:p>
                    <a:pPr algn="ctr">
                      <a:defRPr altLang="ja-JP" sz="600" u="none" strike="noStrike" baseline="0">
                        <a:latin typeface="ＭＳ Ｐ明朝"/>
                        <a:ea typeface="ＭＳ Ｐ明朝"/>
                        <a:cs typeface="ＭＳ Ｐ明朝"/>
                      </a:defRPr>
                    </a:pPr>
                    <a:r>
                      <a:rPr lang="en-US"/>
                      <a:t>3800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E0-2155-4DFF-8C0A-E03BB7E43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-2.8940859165839559</c:v>
              </c:pt>
            </c:numLit>
          </c:xVal>
          <c:yVal>
            <c:numLit>
              <c:formatCode>General</c:formatCode>
              <c:ptCount val="1"/>
              <c:pt idx="0">
                <c:v>1.2241291515685362E-2</c:v>
              </c:pt>
            </c:numLit>
          </c:yVal>
          <c:smooth val="0"/>
          <c:extLst>
            <c:ext xmlns:c16="http://schemas.microsoft.com/office/drawing/2014/chart" uri="{C3380CC4-5D6E-409C-BE32-E72D297353CC}">
              <c16:uniqueId val="{000000E1-2155-4DFF-8C0A-E03BB7E43D67}"/>
            </c:ext>
          </c:extLst>
        </c:ser>
        <c:ser>
          <c:idx val="187"/>
          <c:order val="187"/>
          <c:spPr>
            <a:ln w="3175">
              <a:solidFill>
                <a:srgbClr val="000000"/>
              </a:solidFill>
              <a:prstDash val="solid"/>
            </a:ln>
          </c:spPr>
          <c:marker>
            <c:symbol val="none"/>
          </c:marker>
          <c:xVal>
            <c:numLit>
              <c:formatCode>General</c:formatCode>
              <c:ptCount val="147"/>
              <c:pt idx="0">
                <c:v>16.810229479756391</c:v>
              </c:pt>
              <c:pt idx="1">
                <c:v>16.588644396444685</c:v>
              </c:pt>
              <c:pt idx="2">
                <c:v>16.354668757094764</c:v>
              </c:pt>
              <c:pt idx="3">
                <c:v>16.107718156429225</c:v>
              </c:pt>
              <c:pt idx="4">
                <c:v>15.847219725836448</c:v>
              </c:pt>
              <c:pt idx="5">
                <c:v>15.572621851491188</c:v>
              </c:pt>
              <c:pt idx="6">
                <c:v>15.283405513946459</c:v>
              </c:pt>
              <c:pt idx="7">
                <c:v>14.97909728533833</c:v>
              </c:pt>
              <c:pt idx="8">
                <c:v>14.659283952235356</c:v>
              </c:pt>
              <c:pt idx="9">
                <c:v>14.323628642858322</c:v>
              </c:pt>
              <c:pt idx="10">
                <c:v>13.971888226311023</c:v>
              </c:pt>
              <c:pt idx="11">
                <c:v>13.603931620112528</c:v>
              </c:pt>
              <c:pt idx="12">
                <c:v>13.2197584950931</c:v>
              </c:pt>
              <c:pt idx="13">
                <c:v>12.819517711563606</c:v>
              </c:pt>
              <c:pt idx="14">
                <c:v>12.403524669547116</c:v>
              </c:pt>
              <c:pt idx="15">
                <c:v>11.972276624673018</c:v>
              </c:pt>
              <c:pt idx="16">
                <c:v>11.526464929155814</c:v>
              </c:pt>
              <c:pt idx="17">
                <c:v>11.066983124686066</c:v>
              </c:pt>
              <c:pt idx="18">
                <c:v>10.594929860498169</c:v>
              </c:pt>
              <c:pt idx="19">
                <c:v>10.111605750259969</c:v>
              </c:pt>
              <c:pt idx="20">
                <c:v>9.6185035223870123</c:v>
              </c:pt>
              <c:pt idx="21">
                <c:v>9.1172911549090987</c:v>
              </c:pt>
              <c:pt idx="22">
                <c:v>8.6097880993478064</c:v>
              </c:pt>
              <c:pt idx="23">
                <c:v>8.0979351556909851</c:v>
              </c:pt>
              <c:pt idx="24">
                <c:v>7.5837590188694071</c:v>
              </c:pt>
              <c:pt idx="25">
                <c:v>7.069332926750965</c:v>
              </c:pt>
              <c:pt idx="26">
                <c:v>6.5567351526053601</c:v>
              </c:pt>
              <c:pt idx="27">
                <c:v>6.048007262567018</c:v>
              </c:pt>
              <c:pt idx="28">
                <c:v>5.5451140781737465</c:v>
              </c:pt>
              <c:pt idx="29">
                <c:v>5.0499071430589693</c:v>
              </c:pt>
              <c:pt idx="30">
                <c:v>4.5640932094034081</c:v>
              </c:pt>
              <c:pt idx="31">
                <c:v>4.0892088691906565</c:v>
              </c:pt>
              <c:pt idx="32">
                <c:v>3.6266020041010818</c:v>
              </c:pt>
              <c:pt idx="33">
                <c:v>3.1774202657841126</c:v>
              </c:pt>
              <c:pt idx="34">
                <c:v>2.7426063708388666</c:v>
              </c:pt>
              <c:pt idx="35">
                <c:v>2.3228996376269366</c:v>
              </c:pt>
              <c:pt idx="36">
                <c:v>1.9188429271939578</c:v>
              </c:pt>
              <c:pt idx="37">
                <c:v>1.5307939862731423</c:v>
              </c:pt>
              <c:pt idx="38">
                <c:v>1.1589401224706948</c:v>
              </c:pt>
              <c:pt idx="39">
                <c:v>0.80331515702341572</c:v>
              </c:pt>
              <c:pt idx="40">
                <c:v>0.4638176802814884</c:v>
              </c:pt>
              <c:pt idx="41">
                <c:v>0.14022975872621024</c:v>
              </c:pt>
              <c:pt idx="42">
                <c:v>-0.16776460974090424</c:v>
              </c:pt>
              <c:pt idx="43">
                <c:v>-0.46056184007219381</c:v>
              </c:pt>
              <c:pt idx="44">
                <c:v>-0.73862230174342836</c:v>
              </c:pt>
              <c:pt idx="45">
                <c:v>-1.002455319966258</c:v>
              </c:pt>
              <c:pt idx="46">
                <c:v>-1.2526057824083219</c:v>
              </c:pt>
              <c:pt idx="47">
                <c:v>-1.4896424028400646</c:v>
              </c:pt>
              <c:pt idx="48">
                <c:v>-1.7141476200677335</c:v>
              </c:pt>
              <c:pt idx="49">
                <c:v>-1.9267090572547372</c:v>
              </c:pt>
              <c:pt idx="50">
                <c:v>-2.1279124307072412</c:v>
              </c:pt>
              <c:pt idx="51">
                <c:v>-2.3183357754510565</c:v>
              </c:pt>
              <c:pt idx="52">
                <c:v>-2.4985448444866902</c:v>
              </c:pt>
              <c:pt idx="53">
                <c:v>-2.669089536724063</c:v>
              </c:pt>
              <c:pt idx="54">
                <c:v>-2.8305012128620142</c:v>
              </c:pt>
              <c:pt idx="55">
                <c:v>-2.9832907668862556</c:v>
              </c:pt>
              <c:pt idx="56">
                <c:v>-3.1279473318097732</c:v>
              </c:pt>
              <c:pt idx="57">
                <c:v>-3.3947050354255355</c:v>
              </c:pt>
              <c:pt idx="58">
                <c:v>-3.6342329977636059</c:v>
              </c:pt>
              <c:pt idx="59">
                <c:v>-3.8496301535387389</c:v>
              </c:pt>
              <c:pt idx="60">
                <c:v>-4.0436530888624631</c:v>
              </c:pt>
              <c:pt idx="61">
                <c:v>-4.2187412428710447</c:v>
              </c:pt>
              <c:pt idx="62">
                <c:v>-4.3770457171884622</c:v>
              </c:pt>
              <c:pt idx="63">
                <c:v>-4.5204589487479616</c:v>
              </c:pt>
              <c:pt idx="64">
                <c:v>-4.6506435459878448</c:v>
              </c:pt>
              <c:pt idx="65">
                <c:v>-4.7690593110363508</c:v>
              </c:pt>
              <c:pt idx="66">
                <c:v>-4.8769879543111792</c:v>
              </c:pt>
              <c:pt idx="67">
                <c:v>-4.97555532075208</c:v>
              </c:pt>
              <c:pt idx="68">
                <c:v>-5.0657511406962898</c:v>
              </c:pt>
              <c:pt idx="69">
                <c:v>-5.1484464315058194</c:v>
              </c:pt>
              <c:pt idx="70">
                <c:v>-5.2244087358312541</c:v>
              </c:pt>
              <c:pt idx="71">
                <c:v>-5.2943154079273143</c:v>
              </c:pt>
              <c:pt idx="72">
                <c:v>-5.358765163744196</c:v>
              </c:pt>
              <c:pt idx="73">
                <c:v>-5.4182881023183391</c:v>
              </c:pt>
              <c:pt idx="74">
                <c:v>-5.4733543909858673</c:v>
              </c:pt>
              <c:pt idx="75">
                <c:v>-5.5243817887928159</c:v>
              </c:pt>
              <c:pt idx="76">
                <c:v>-5.571742163443429</c:v>
              </c:pt>
              <c:pt idx="77">
                <c:v>-5.6567529906365968</c:v>
              </c:pt>
              <c:pt idx="78">
                <c:v>-5.7306406407761212</c:v>
              </c:pt>
              <c:pt idx="79">
                <c:v>-5.7952165720117108</c:v>
              </c:pt>
              <c:pt idx="80">
                <c:v>-5.851947118469381</c:v>
              </c:pt>
              <c:pt idx="81">
                <c:v>-5.9020274437754896</c:v>
              </c:pt>
              <c:pt idx="82">
                <c:v>-6.0041567309797621</c:v>
              </c:pt>
              <c:pt idx="83">
                <c:v>-6.0816762741522021</c:v>
              </c:pt>
              <c:pt idx="84">
                <c:v>-6.1418165019856463</c:v>
              </c:pt>
              <c:pt idx="85">
                <c:v>-6.1893611787955249</c:v>
              </c:pt>
              <c:pt idx="86">
                <c:v>-6.2275685419443816</c:v>
              </c:pt>
              <c:pt idx="87">
                <c:v>-6.2587153367755777</c:v>
              </c:pt>
              <c:pt idx="88">
                <c:v>-6.3058961870318369</c:v>
              </c:pt>
              <c:pt idx="89">
                <c:v>-6.3394006467143074</c:v>
              </c:pt>
              <c:pt idx="90">
                <c:v>-6.3640278309235088</c:v>
              </c:pt>
              <c:pt idx="91">
                <c:v>-6.382648783342864</c:v>
              </c:pt>
              <c:pt idx="92">
                <c:v>-6.3970641036563771</c:v>
              </c:pt>
              <c:pt idx="93">
                <c:v>-6.436353647558132</c:v>
              </c:pt>
              <c:pt idx="94">
                <c:v>-6.4527022004217862</c:v>
              </c:pt>
              <c:pt idx="95">
                <c:v>-6.4658267837767367</c:v>
              </c:pt>
              <c:pt idx="96">
                <c:v>-6.4708678812703511</c:v>
              </c:pt>
              <c:pt idx="97">
                <c:v>-6.4780000000000006</c:v>
              </c:pt>
              <c:pt idx="98">
                <c:v>-6.4687544134534143</c:v>
              </c:pt>
              <c:pt idx="99">
                <c:v>-6.4607910353144655</c:v>
              </c:pt>
              <c:pt idx="100">
                <c:v>-6.4354532742589932</c:v>
              </c:pt>
              <c:pt idx="101">
                <c:v>-6.3946145573537017</c:v>
              </c:pt>
              <c:pt idx="102">
                <c:v>-6.3795129803289274</c:v>
              </c:pt>
              <c:pt idx="103">
                <c:v>-6.3599248979775851</c:v>
              </c:pt>
              <c:pt idx="104">
                <c:v>-6.3338909498930658</c:v>
              </c:pt>
              <c:pt idx="105">
                <c:v>-6.2982611859413211</c:v>
              </c:pt>
              <c:pt idx="106">
                <c:v>-6.2477177107241779</c:v>
              </c:pt>
              <c:pt idx="107">
                <c:v>-6.2141364364601657</c:v>
              </c:pt>
              <c:pt idx="108">
                <c:v>-6.1727292094729158</c:v>
              </c:pt>
              <c:pt idx="109">
                <c:v>-6.1208981028564446</c:v>
              </c:pt>
              <c:pt idx="110">
                <c:v>-6.0548906661909623</c:v>
              </c:pt>
              <c:pt idx="111">
                <c:v>-5.969139454636716</c:v>
              </c:pt>
              <c:pt idx="112">
                <c:v>-5.8551287645325596</c:v>
              </c:pt>
              <c:pt idx="113">
                <c:v>-5.7988285531075912</c:v>
              </c:pt>
              <c:pt idx="114">
                <c:v>-5.7347616757504305</c:v>
              </c:pt>
              <c:pt idx="115">
                <c:v>-5.6614799564344587</c:v>
              </c:pt>
              <c:pt idx="116">
                <c:v>-5.5771951197065643</c:v>
              </c:pt>
              <c:pt idx="117">
                <c:v>-5.4796832004534721</c:v>
              </c:pt>
              <c:pt idx="118">
                <c:v>-5.4251226750385708</c:v>
              </c:pt>
              <c:pt idx="119">
                <c:v>-5.3661582607451805</c:v>
              </c:pt>
              <c:pt idx="120">
                <c:v>-5.3023264552641391</c:v>
              </c:pt>
              <c:pt idx="121">
                <c:v>-5.2331047854998651</c:v>
              </c:pt>
              <c:pt idx="122">
                <c:v>-5.1579032706065853</c:v>
              </c:pt>
              <c:pt idx="123">
                <c:v>-5.0760545707644287</c:v>
              </c:pt>
              <c:pt idx="124">
                <c:v>-4.9868026312391578</c:v>
              </c:pt>
              <c:pt idx="125">
                <c:v>-4.889289615730835</c:v>
              </c:pt>
              <c:pt idx="126">
                <c:v>-4.7825409137469856</c:v>
              </c:pt>
              <c:pt idx="127">
                <c:v>-4.6654480091532298</c:v>
              </c:pt>
              <c:pt idx="128">
                <c:v>-4.5367490194500562</c:v>
              </c:pt>
              <c:pt idx="129">
                <c:v>-4.3950067701211761</c:v>
              </c:pt>
              <c:pt idx="130">
                <c:v>-4.2385843738412259</c:v>
              </c:pt>
              <c:pt idx="131">
                <c:v>-4.0656184666577015</c:v>
              </c:pt>
              <c:pt idx="132">
                <c:v>-3.8739905493226741</c:v>
              </c:pt>
              <c:pt idx="133">
                <c:v>-3.7704392439481627</c:v>
              </c:pt>
              <c:pt idx="134">
                <c:v>-3.6612973419810073</c:v>
              </c:pt>
              <c:pt idx="135">
                <c:v>-3.5462151642748525</c:v>
              </c:pt>
              <c:pt idx="136">
                <c:v>-3.4248217502543765</c:v>
              </c:pt>
              <c:pt idx="137">
                <c:v>-3.2967241795418643</c:v>
              </c:pt>
              <c:pt idx="138">
                <c:v>-3.1615070418306956</c:v>
              </c:pt>
              <c:pt idx="139">
                <c:v>-3.0187321044678757</c:v>
              </c:pt>
              <c:pt idx="140">
                <c:v>-2.8679382367257746</c:v>
              </c:pt>
              <c:pt idx="141">
                <c:v>-2.7086416603368892</c:v>
              </c:pt>
              <c:pt idx="142">
                <c:v>-2.5403366074235816</c:v>
              </c:pt>
              <c:pt idx="143">
                <c:v>-2.3624964792520693</c:v>
              </c:pt>
              <c:pt idx="144">
                <c:v>-2.1745756118950066</c:v>
              </c:pt>
              <c:pt idx="145">
                <c:v>-1.9760117673163591</c:v>
              </c:pt>
              <c:pt idx="146">
                <c:v>-1.7662294797563944</c:v>
              </c:pt>
            </c:numLit>
          </c:xVal>
          <c:yVal>
            <c:numLit>
              <c:formatCode>General</c:formatCode>
              <c:ptCount val="147"/>
              <c:pt idx="0">
                <c:v>2.8677892915949361E-2</c:v>
              </c:pt>
              <c:pt idx="1">
                <c:v>2.882017669794408E-2</c:v>
              </c:pt>
              <c:pt idx="2">
                <c:v>2.8964054945422545E-2</c:v>
              </c:pt>
              <c:pt idx="3">
                <c:v>2.9109197410386176E-2</c:v>
              </c:pt>
              <c:pt idx="4">
                <c:v>2.9255219725836449E-2</c:v>
              </c:pt>
              <c:pt idx="5">
                <c:v>2.9401679479707257E-2</c:v>
              </c:pt>
              <c:pt idx="6">
                <c:v>2.9548072789216489E-2</c:v>
              </c:pt>
              <c:pt idx="7">
                <c:v>2.9693831622722384E-2</c:v>
              </c:pt>
              <c:pt idx="8">
                <c:v>2.9838322153782595E-2</c:v>
              </c:pt>
              <c:pt idx="9">
                <c:v>2.9980844463909358E-2</c:v>
              </c:pt>
              <c:pt idx="10">
                <c:v>3.0120633931542337E-2</c:v>
              </c:pt>
              <c:pt idx="11">
                <c:v>3.0256864649135986E-2</c:v>
              </c:pt>
              <c:pt idx="12">
                <c:v>3.0388655191524186E-2</c:v>
              </c:pt>
              <c:pt idx="13">
                <c:v>3.0515077010490988E-2</c:v>
              </c:pt>
              <c:pt idx="14">
                <c:v>3.0635165647360473E-2</c:v>
              </c:pt>
              <c:pt idx="15">
                <c:v>3.0747934834256706E-2</c:v>
              </c:pt>
              <c:pt idx="16">
                <c:v>3.085239339588855E-2</c:v>
              </c:pt>
              <c:pt idx="17">
                <c:v>3.0947564672567929E-2</c:v>
              </c:pt>
              <c:pt idx="18">
                <c:v>3.1032507972748882E-2</c:v>
              </c:pt>
              <c:pt idx="19">
                <c:v>3.1106341346724724E-2</c:v>
              </c:pt>
              <c:pt idx="20">
                <c:v>3.1168264774375409E-2</c:v>
              </c:pt>
              <c:pt idx="21">
                <c:v>3.1217582704093288E-2</c:v>
              </c:pt>
              <c:pt idx="22">
                <c:v>3.1253724791923544E-2</c:v>
              </c:pt>
              <c:pt idx="23">
                <c:v>3.127626368973449E-2</c:v>
              </c:pt>
              <c:pt idx="24">
                <c:v>3.1284928830437236E-2</c:v>
              </c:pt>
              <c:pt idx="25">
                <c:v>3.1279615356557502E-2</c:v>
              </c:pt>
              <c:pt idx="26">
                <c:v>3.1260387622117129E-2</c:v>
              </c:pt>
              <c:pt idx="27">
                <c:v>3.1227477040677638E-2</c:v>
              </c:pt>
              <c:pt idx="28">
                <c:v>3.1181274419367078E-2</c:v>
              </c:pt>
              <c:pt idx="29">
                <c:v>3.1122317270830653E-2</c:v>
              </c:pt>
              <c:pt idx="30">
                <c:v>3.1051272895714872E-2</c:v>
              </c:pt>
              <c:pt idx="31">
                <c:v>3.0968918248820355E-2</c:v>
              </c:pt>
              <c:pt idx="32">
                <c:v>3.0876117725569325E-2</c:v>
              </c:pt>
              <c:pt idx="33">
                <c:v>3.0773800028426088E-2</c:v>
              </c:pt>
              <c:pt idx="34">
                <c:v>3.0662935204324095E-2</c:v>
              </c:pt>
              <c:pt idx="35">
                <c:v>3.0544512802476664E-2</c:v>
              </c:pt>
              <c:pt idx="36">
                <c:v>3.04195219111833E-2</c:v>
              </c:pt>
              <c:pt idx="37">
                <c:v>3.0288933617716181E-2</c:v>
              </c:pt>
              <c:pt idx="38">
                <c:v>3.0153686220164965E-2</c:v>
              </c:pt>
              <c:pt idx="39">
                <c:v>3.0014673322626941E-2</c:v>
              </c:pt>
              <c:pt idx="40">
                <c:v>2.9872734777880133E-2</c:v>
              </c:pt>
              <c:pt idx="41">
                <c:v>2.9728650311281322E-2</c:v>
              </c:pt>
              <c:pt idx="42">
                <c:v>2.95831355675608E-2</c:v>
              </c:pt>
              <c:pt idx="43">
                <c:v>2.9436840266009144E-2</c:v>
              </c:pt>
              <c:pt idx="44">
                <c:v>2.9290348124299693E-2</c:v>
              </c:pt>
              <c:pt idx="45">
                <c:v>2.9144178210618831E-2</c:v>
              </c:pt>
              <c:pt idx="46">
                <c:v>2.8998787401373648E-2</c:v>
              </c:pt>
              <c:pt idx="47">
                <c:v>2.8854573651448525E-2</c:v>
              </c:pt>
              <c:pt idx="48">
                <c:v>2.8711879820593082E-2</c:v>
              </c:pt>
              <c:pt idx="49">
                <c:v>2.8570997838905359E-2</c:v>
              </c:pt>
              <c:pt idx="50">
                <c:v>2.8432173033455556E-2</c:v>
              </c:pt>
              <c:pt idx="51">
                <c:v>2.8295608474779587E-2</c:v>
              </c:pt>
              <c:pt idx="52">
                <c:v>2.8161469234973899E-2</c:v>
              </c:pt>
              <c:pt idx="53">
                <c:v>2.8029886477800841E-2</c:v>
              </c:pt>
              <c:pt idx="54">
                <c:v>2.7900961325394373E-2</c:v>
              </c:pt>
              <c:pt idx="55">
                <c:v>2.777476846598936E-2</c:v>
              </c:pt>
              <c:pt idx="56">
                <c:v>2.765135948293641E-2</c:v>
              </c:pt>
              <c:pt idx="57">
                <c:v>2.741300192776747E-2</c:v>
              </c:pt>
              <c:pt idx="58">
                <c:v>2.7185947823718054E-2</c:v>
              </c:pt>
              <c:pt idx="59">
                <c:v>2.6970052763706429E-2</c:v>
              </c:pt>
              <c:pt idx="60">
                <c:v>2.6765028589466222E-2</c:v>
              </c:pt>
              <c:pt idx="61">
                <c:v>2.6570489823461451E-2</c:v>
              </c:pt>
              <c:pt idx="62">
                <c:v>2.6385989057197627E-2</c:v>
              </c:pt>
              <c:pt idx="63">
                <c:v>2.6211043462266981E-2</c:v>
              </c:pt>
              <c:pt idx="64">
                <c:v>2.6045154305456879E-2</c:v>
              </c:pt>
              <c:pt idx="65">
                <c:v>2.5887821037250434E-2</c:v>
              </c:pt>
              <c:pt idx="66">
                <c:v>2.573855122669123E-2</c:v>
              </c:pt>
              <c:pt idx="67">
                <c:v>2.5596867354371416E-2</c:v>
              </c:pt>
              <c:pt idx="68">
                <c:v>2.5462311255383133E-2</c:v>
              </c:pt>
              <c:pt idx="69">
                <c:v>2.5334446824497189E-2</c:v>
              </c:pt>
              <c:pt idx="70">
                <c:v>2.5212861452320056E-2</c:v>
              </c:pt>
              <c:pt idx="71">
                <c:v>2.5097166548278888E-2</c:v>
              </c:pt>
              <c:pt idx="72">
                <c:v>2.4986997418511792E-2</c:v>
              </c:pt>
              <c:pt idx="73">
                <c:v>2.4882012699129402E-2</c:v>
              </c:pt>
              <c:pt idx="74">
                <c:v>2.4781893493615731E-2</c:v>
              </c:pt>
              <c:pt idx="75">
                <c:v>2.4686342323848191E-2</c:v>
              </c:pt>
              <c:pt idx="76">
                <c:v>2.4595081974519786E-2</c:v>
              </c:pt>
              <c:pt idx="77">
                <c:v>2.4424418953236802E-2</c:v>
              </c:pt>
              <c:pt idx="78">
                <c:v>2.4268046190440859E-2</c:v>
              </c:pt>
              <c:pt idx="79">
                <c:v>2.4124353808164946E-2</c:v>
              </c:pt>
              <c:pt idx="80">
                <c:v>2.3991946017564908E-2</c:v>
              </c:pt>
              <c:pt idx="81">
                <c:v>2.3869610711458024E-2</c:v>
              </c:pt>
              <c:pt idx="82">
                <c:v>2.3601243359121643E-2</c:v>
              </c:pt>
              <c:pt idx="83">
                <c:v>2.3376424442580822E-2</c:v>
              </c:pt>
              <c:pt idx="84">
                <c:v>2.3185628388742628E-2</c:v>
              </c:pt>
              <c:pt idx="85">
                <c:v>2.3021845518026735E-2</c:v>
              </c:pt>
              <c:pt idx="86">
                <c:v>2.2879826043585575E-2</c:v>
              </c:pt>
              <c:pt idx="87">
                <c:v>2.2755572771766694E-2</c:v>
              </c:pt>
              <c:pt idx="88">
                <c:v>2.2548671580655582E-2</c:v>
              </c:pt>
              <c:pt idx="89">
                <c:v>2.2383467693411988E-2</c:v>
              </c:pt>
              <c:pt idx="90">
                <c:v>2.2248609023778468E-2</c:v>
              </c:pt>
              <c:pt idx="91">
                <c:v>2.2136492726931425E-2</c:v>
              </c:pt>
              <c:pt idx="92">
                <c:v>2.2041845203134694E-2</c:v>
              </c:pt>
              <c:pt idx="93">
                <c:v>2.172811889106761E-2</c:v>
              </c:pt>
              <c:pt idx="94">
                <c:v>2.1552224945278583E-2</c:v>
              </c:pt>
              <c:pt idx="95">
                <c:v>2.1361728347072451E-2</c:v>
              </c:pt>
              <c:pt idx="96">
                <c:v>2.1260488451156453E-2</c:v>
              </c:pt>
              <c:pt idx="97">
                <c:v>2.0930000000000001E-2</c:v>
              </c:pt>
              <c:pt idx="98">
                <c:v>2.0553731515266696E-2</c:v>
              </c:pt>
              <c:pt idx="99">
                <c:v>2.0416729629222568E-2</c:v>
              </c:pt>
              <c:pt idx="100">
                <c:v>2.0123312766063169E-2</c:v>
              </c:pt>
              <c:pt idx="101">
                <c:v>1.9801504574826875E-2</c:v>
              </c:pt>
              <c:pt idx="102">
                <c:v>1.9703897767998347E-2</c:v>
              </c:pt>
              <c:pt idx="103">
                <c:v>1.9587964977189561E-2</c:v>
              </c:pt>
              <c:pt idx="104">
                <c:v>1.9448070774442654E-2</c:v>
              </c:pt>
              <c:pt idx="105">
                <c:v>1.9276040595639192E-2</c:v>
              </c:pt>
              <c:pt idx="106">
                <c:v>1.9059579257765528E-2</c:v>
              </c:pt>
              <c:pt idx="107">
                <c:v>1.8929051078036645E-2</c:v>
              </c:pt>
              <c:pt idx="108">
                <c:v>1.8779375962421206E-2</c:v>
              </c:pt>
              <c:pt idx="109">
                <c:v>1.8606133509740334E-2</c:v>
              </c:pt>
              <c:pt idx="110">
                <c:v>1.8403482795007753E-2</c:v>
              </c:pt>
              <c:pt idx="111">
                <c:v>1.8163573931641964E-2</c:v>
              </c:pt>
              <c:pt idx="112">
                <c:v>1.7875666923032288E-2</c:v>
              </c:pt>
              <c:pt idx="113">
                <c:v>1.7743895976123102E-2</c:v>
              </c:pt>
              <c:pt idx="114">
                <c:v>1.7600918061456586E-2</c:v>
              </c:pt>
              <c:pt idx="115">
                <c:v>1.7445349228540973E-2</c:v>
              </c:pt>
              <c:pt idx="116">
                <c:v>1.7275593374812867E-2</c:v>
              </c:pt>
              <c:pt idx="117">
                <c:v>1.7089808191527837E-2</c:v>
              </c:pt>
              <c:pt idx="118">
                <c:v>1.6990252446736603E-2</c:v>
              </c:pt>
              <c:pt idx="119">
                <c:v>1.6885867994288942E-2</c:v>
              </c:pt>
              <c:pt idx="120">
                <c:v>1.677633856600267E-2</c:v>
              </c:pt>
              <c:pt idx="121">
                <c:v>1.6661325544174033E-2</c:v>
              </c:pt>
              <c:pt idx="122">
                <c:v>1.6540467071496829E-2</c:v>
              </c:pt>
              <c:pt idx="123">
                <c:v>1.6413377441842833E-2</c:v>
              </c:pt>
              <c:pt idx="124">
                <c:v>1.6279646915363419E-2</c:v>
              </c:pt>
              <c:pt idx="125">
                <c:v>1.6138842151410121E-2</c:v>
              </c:pt>
              <c:pt idx="126">
                <c:v>1.599050751826438E-2</c:v>
              </c:pt>
              <c:pt idx="127">
                <c:v>1.5834167623770514E-2</c:v>
              </c:pt>
              <c:pt idx="128">
                <c:v>1.5669331520569488E-2</c:v>
              </c:pt>
              <c:pt idx="129">
                <c:v>1.5495499179174118E-2</c:v>
              </c:pt>
              <c:pt idx="130">
                <c:v>1.5312170997110987E-2</c:v>
              </c:pt>
              <c:pt idx="131">
                <c:v>1.5118861327289309E-2</c:v>
              </c:pt>
              <c:pt idx="132">
                <c:v>1.4915117265152884E-2</c:v>
              </c:pt>
              <c:pt idx="133">
                <c:v>1.4809205883937578E-2</c:v>
              </c:pt>
              <c:pt idx="134">
                <c:v>1.4700544227002829E-2</c:v>
              </c:pt>
              <c:pt idx="135">
                <c:v>1.4589097690626144E-2</c:v>
              </c:pt>
              <c:pt idx="136">
                <c:v>1.4474840163683531E-2</c:v>
              </c:pt>
              <c:pt idx="137">
                <c:v>1.4357755721848364E-2</c:v>
              </c:pt>
              <c:pt idx="138">
                <c:v>1.4237840545403689E-2</c:v>
              </c:pt>
              <c:pt idx="139">
                <c:v>1.4115105078987998E-2</c:v>
              </c:pt>
              <c:pt idx="140">
                <c:v>1.3989576450102176E-2</c:v>
              </c:pt>
              <c:pt idx="141">
                <c:v>1.3861301160508996E-2</c:v>
              </c:pt>
              <c:pt idx="142">
                <c:v>1.3730348060406742E-2</c:v>
              </c:pt>
              <c:pt idx="143">
                <c:v>1.3596811609050458E-2</c:v>
              </c:pt>
              <c:pt idx="144">
                <c:v>1.3460815416871075E-2</c:v>
              </c:pt>
              <c:pt idx="145">
                <c:v>1.3322516052611264E-2</c:v>
              </c:pt>
              <c:pt idx="146">
                <c:v>1.318210708405064E-2</c:v>
              </c:pt>
            </c:numLit>
          </c:yVal>
          <c:smooth val="1"/>
          <c:extLst>
            <c:ext xmlns:c16="http://schemas.microsoft.com/office/drawing/2014/chart" uri="{C3380CC4-5D6E-409C-BE32-E72D297353CC}">
              <c16:uniqueId val="{000000E2-2155-4DFF-8C0A-E03BB7E43D67}"/>
            </c:ext>
          </c:extLst>
        </c:ser>
        <c:ser>
          <c:idx val="188"/>
          <c:order val="188"/>
          <c:tx>
            <c:v>熱水分比基点</c:v>
          </c:tx>
          <c:spPr>
            <a:ln w="3175">
              <a:solidFill>
                <a:srgbClr val="000000"/>
              </a:solidFill>
              <a:prstDash val="solid"/>
            </a:ln>
          </c:spPr>
          <c:marker>
            <c:symbol val="circle"/>
            <c:size val="10"/>
            <c:spPr>
              <a:noFill/>
              <a:ln>
                <a:solidFill>
                  <a:srgbClr val="808080"/>
                </a:solidFill>
                <a:prstDash val="solid"/>
              </a:ln>
              <a:extLst>
                <a:ext uri="{909E8E84-426E-40DD-AFC4-6F175D3DCCD1}">
                  <a14:hiddenFill xmlns:a14="http://schemas.microsoft.com/office/drawing/2010/main">
                    <a:solidFill>
                      <a:srgbClr val="A5A5A5">
                        <a:tint val="35000"/>
                      </a:srgbClr>
                    </a:solidFill>
                  </a14:hiddenFill>
                </a:ext>
              </a:extLst>
            </c:spPr>
          </c:marker>
          <c:xVal>
            <c:numLit>
              <c:formatCode>General</c:formatCode>
              <c:ptCount val="1"/>
              <c:pt idx="0">
                <c:v>7.5219999999999994</c:v>
              </c:pt>
            </c:numLit>
          </c:xVal>
          <c:yVal>
            <c:numLit>
              <c:formatCode>General</c:formatCode>
              <c:ptCount val="1"/>
              <c:pt idx="0">
                <c:v>2.0930000000000001E-2</c:v>
              </c:pt>
            </c:numLit>
          </c:yVal>
          <c:smooth val="0"/>
          <c:extLst>
            <c:ext xmlns:c16="http://schemas.microsoft.com/office/drawing/2014/chart" uri="{C3380CC4-5D6E-409C-BE32-E72D297353CC}">
              <c16:uniqueId val="{000000E3-2155-4DFF-8C0A-E03BB7E43D67}"/>
            </c:ext>
          </c:extLst>
        </c:ser>
        <c:ser>
          <c:idx val="189"/>
          <c:order val="189"/>
          <c:tx>
            <c:v>熱水分比基点</c:v>
          </c:tx>
          <c:spPr>
            <a:ln w="3175">
              <a:solidFill>
                <a:srgbClr val="000000"/>
              </a:solidFill>
              <a:prstDash val="solid"/>
            </a:ln>
          </c:spPr>
          <c:marker>
            <c:symbol val="plus"/>
            <c:size val="10"/>
            <c:spPr>
              <a:noFill/>
              <a:ln>
                <a:solidFill>
                  <a:srgbClr val="808080"/>
                </a:solidFill>
                <a:prstDash val="solid"/>
              </a:ln>
              <a:extLst>
                <a:ext uri="{909E8E84-426E-40DD-AFC4-6F175D3DCCD1}">
                  <a14:hiddenFill xmlns:a14="http://schemas.microsoft.com/office/drawing/2010/main">
                    <a:solidFill>
                      <a:srgbClr val="FFC000">
                        <a:tint val="35000"/>
                      </a:srgbClr>
                    </a:solidFill>
                  </a14:hiddenFill>
                </a:ext>
              </a:extLst>
            </c:spPr>
          </c:marker>
          <c:xVal>
            <c:numLit>
              <c:formatCode>General</c:formatCode>
              <c:ptCount val="1"/>
              <c:pt idx="0">
                <c:v>7.5219999999999994</c:v>
              </c:pt>
            </c:numLit>
          </c:xVal>
          <c:yVal>
            <c:numLit>
              <c:formatCode>General</c:formatCode>
              <c:ptCount val="1"/>
              <c:pt idx="0">
                <c:v>2.0930000000000001E-2</c:v>
              </c:pt>
            </c:numLit>
          </c:yVal>
          <c:smooth val="0"/>
          <c:extLst>
            <c:ext xmlns:c16="http://schemas.microsoft.com/office/drawing/2014/chart" uri="{C3380CC4-5D6E-409C-BE32-E72D297353CC}">
              <c16:uniqueId val="{000000E4-2155-4DFF-8C0A-E03BB7E43D67}"/>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FDD4-42E4-87E6-BD3964183DBC}"/>
            </c:ext>
          </c:extLst>
        </c:ser>
        <c:ser>
          <c:idx val="1"/>
          <c:order val="1"/>
          <c:tx>
            <c:v>RH=10_1</c:v>
          </c:tx>
          <c:spPr>
            <a:ln w="3175">
              <a:solidFill>
                <a:srgbClr val="0000FF"/>
              </a:solidFill>
              <a:prstDash val="solid"/>
            </a:ln>
          </c:spPr>
          <c:marker>
            <c:symbol val="none"/>
          </c:marker>
          <c:xVal>
            <c:numLit>
              <c:formatCode>General</c:formatCode>
              <c:ptCount val="38"/>
              <c:pt idx="0">
                <c:v>-10.0177756677797</c:v>
              </c:pt>
              <c:pt idx="1">
                <c:v>-9.0190959721921065</c:v>
              </c:pt>
              <c:pt idx="2">
                <c:v>-8.0204947203038497</c:v>
              </c:pt>
              <c:pt idx="3">
                <c:v>-7.0219748302109002</c:v>
              </c:pt>
              <c:pt idx="4">
                <c:v>-6.0235391639546627</c:v>
              </c:pt>
              <c:pt idx="5">
                <c:v>-5.0251905057455675</c:v>
              </c:pt>
              <c:pt idx="6">
                <c:v>-4.0269315379580988</c:v>
              </c:pt>
              <c:pt idx="7">
                <c:v>-3.0287648147507311</c:v>
              </c:pt>
              <c:pt idx="8">
                <c:v>-2.0306927331577049</c:v>
              </c:pt>
              <c:pt idx="9">
                <c:v>-1.0327175014929011</c:v>
              </c:pt>
              <c:pt idx="10">
                <c:v>-3.484110489918895E-2</c:v>
              </c:pt>
              <c:pt idx="11">
                <c:v>0.96328939591528173</c:v>
              </c:pt>
              <c:pt idx="12">
                <c:v>1.9613621474223808</c:v>
              </c:pt>
              <c:pt idx="13">
                <c:v>2.9593749622169305</c:v>
              </c:pt>
              <c:pt idx="14">
                <c:v>3.9573294009540501</c:v>
              </c:pt>
              <c:pt idx="15">
                <c:v>4.9552274207672413</c:v>
              </c:pt>
              <c:pt idx="16">
                <c:v>5.9530704719223664</c:v>
              </c:pt>
              <c:pt idx="17">
                <c:v>6.9508622511413787</c:v>
              </c:pt>
              <c:pt idx="18">
                <c:v>7.9486061034176085</c:v>
              </c:pt>
              <c:pt idx="19">
                <c:v>8.946305910300195</c:v>
              </c:pt>
              <c:pt idx="20">
                <c:v>9.9439661291778094</c:v>
              </c:pt>
              <c:pt idx="21">
                <c:v>10.941590669234015</c:v>
              </c:pt>
              <c:pt idx="22">
                <c:v>11.939186333734822</c:v>
              </c:pt>
              <c:pt idx="23">
                <c:v>12.936759560270477</c:v>
              </c:pt>
              <c:pt idx="24">
                <c:v>13.934317538581611</c:v>
              </c:pt>
              <c:pt idx="25">
                <c:v>14.931868259472157</c:v>
              </c:pt>
              <c:pt idx="26">
                <c:v>15.929420565788638</c:v>
              </c:pt>
              <c:pt idx="27">
                <c:v>16.926984205518398</c:v>
              </c:pt>
              <c:pt idx="28">
                <c:v>17.9245698870604</c:v>
              </c:pt>
              <c:pt idx="29">
                <c:v>18.922189336723491</c:v>
              </c:pt>
              <c:pt idx="30">
                <c:v>19.919855358508599</c:v>
              </c:pt>
              <c:pt idx="31">
                <c:v>20.917581896232608</c:v>
              </c:pt>
              <c:pt idx="32">
                <c:v>21.915384098053682</c:v>
              </c:pt>
              <c:pt idx="33">
                <c:v>22.913278383459538</c:v>
              </c:pt>
              <c:pt idx="34">
                <c:v>23.911282512782485</c:v>
              </c:pt>
              <c:pt idx="35">
                <c:v>24.909415659307243</c:v>
              </c:pt>
              <c:pt idx="36">
                <c:v>25.907696639619608</c:v>
              </c:pt>
              <c:pt idx="37">
                <c:v>26.317040192907807</c:v>
              </c:pt>
            </c:numLit>
          </c:xVal>
          <c:yVal>
            <c:numLit>
              <c:formatCode>General</c:formatCode>
              <c:ptCount val="38"/>
              <c:pt idx="0">
                <c:v>1.6023585830088701E-4</c:v>
              </c:pt>
              <c:pt idx="1">
                <c:v>1.7505511231326874E-4</c:v>
              </c:pt>
              <c:pt idx="2">
                <c:v>1.911168763966824E-4</c:v>
              </c:pt>
              <c:pt idx="3">
                <c:v>2.0851423497609411E-4</c:v>
              </c:pt>
              <c:pt idx="4">
                <c:v>2.2734637997686826E-4</c:v>
              </c:pt>
              <c:pt idx="5">
                <c:v>2.4771895190655777E-4</c:v>
              </c:pt>
              <c:pt idx="6">
                <c:v>2.6974439651381417E-4</c:v>
              </c:pt>
              <c:pt idx="7">
                <c:v>2.9354233758607893E-4</c:v>
              </c:pt>
              <c:pt idx="8">
                <c:v>3.1923996646661596E-4</c:v>
              </c:pt>
              <c:pt idx="9">
                <c:v>3.4697244889161612E-4</c:v>
              </c:pt>
              <c:pt idx="10">
                <c:v>3.7688334976972127E-4</c:v>
              </c:pt>
              <c:pt idx="11">
                <c:v>4.0521031061253583E-4</c:v>
              </c:pt>
              <c:pt idx="12">
                <c:v>4.3536827613222564E-4</c:v>
              </c:pt>
              <c:pt idx="13">
                <c:v>4.6749929089188232E-4</c:v>
              </c:pt>
              <c:pt idx="14">
                <c:v>5.0171368209707661E-4</c:v>
              </c:pt>
              <c:pt idx="15">
                <c:v>5.3812681849648315E-4</c:v>
              </c:pt>
              <c:pt idx="16">
                <c:v>5.7687078746455054E-4</c:v>
              </c:pt>
              <c:pt idx="17">
                <c:v>6.1806170732398903E-4</c:v>
              </c:pt>
              <c:pt idx="18">
                <c:v>6.6183128471435158E-4</c:v>
              </c:pt>
              <c:pt idx="19">
                <c:v>7.0831699761347128E-4</c:v>
              </c:pt>
              <c:pt idx="20">
                <c:v>7.5766228557958958E-4</c:v>
              </c:pt>
              <c:pt idx="21">
                <c:v>8.100329025445516E-4</c:v>
              </c:pt>
              <c:pt idx="22">
                <c:v>8.6557085827349055E-4</c:v>
              </c:pt>
              <c:pt idx="23">
                <c:v>9.244388603298438E-4</c:v>
              </c:pt>
              <c:pt idx="24">
                <c:v>9.8680639466692979E-4</c:v>
              </c:pt>
              <c:pt idx="25">
                <c:v>1.0528499381107718E-3</c:v>
              </c:pt>
              <c:pt idx="26">
                <c:v>1.1227531754685466E-3</c:v>
              </c:pt>
              <c:pt idx="27">
                <c:v>1.196707221383005E-3</c:v>
              </c:pt>
              <c:pt idx="28">
                <c:v>1.2749108470638381E-3</c:v>
              </c:pt>
              <c:pt idx="29">
                <c:v>1.357570712039002E-3</c:v>
              </c:pt>
              <c:pt idx="30">
                <c:v>1.4449016010815252E-3</c:v>
              </c:pt>
              <c:pt idx="31">
                <c:v>1.5371266664811695E-3</c:v>
              </c:pt>
              <c:pt idx="32">
                <c:v>1.6344776758448051E-3</c:v>
              </c:pt>
              <c:pt idx="33">
                <c:v>1.7371952656253776E-3</c:v>
              </c:pt>
              <c:pt idx="34">
                <c:v>1.8455292005959472E-3</c:v>
              </c:pt>
              <c:pt idx="35">
                <c:v>1.9597386395035048E-3</c:v>
              </c:pt>
              <c:pt idx="36">
                <c:v>2.0801339727301582E-3</c:v>
              </c:pt>
              <c:pt idx="37">
                <c:v>2.1313379082339733E-3</c:v>
              </c:pt>
            </c:numLit>
          </c:yVal>
          <c:smooth val="1"/>
          <c:extLst>
            <c:ext xmlns:c16="http://schemas.microsoft.com/office/drawing/2014/chart" uri="{C3380CC4-5D6E-409C-BE32-E72D297353CC}">
              <c16:uniqueId val="{00000001-FDD4-42E4-87E6-BD3964183DBC}"/>
            </c:ext>
          </c:extLst>
        </c:ser>
        <c:ser>
          <c:idx val="2"/>
          <c:order val="2"/>
          <c:tx>
            <c:v>RH=10_Label1</c:v>
          </c:tx>
          <c:spPr>
            <a:ln w="3175">
              <a:solidFill>
                <a:srgbClr val="0000FF"/>
              </a:solidFill>
              <a:prstDash val="solid"/>
            </a:ln>
          </c:spPr>
          <c:marker>
            <c:symbol val="none"/>
          </c:marker>
          <c:dLbls>
            <c:dLbl>
              <c:idx val="0"/>
              <c:tx>
                <c:rich>
                  <a:bodyPr rot="-6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27.065919432379985</c:v>
              </c:pt>
            </c:numLit>
          </c:xVal>
          <c:yVal>
            <c:numLit>
              <c:formatCode>General</c:formatCode>
              <c:ptCount val="1"/>
              <c:pt idx="0">
                <c:v>2.2278649752776442E-3</c:v>
              </c:pt>
            </c:numLit>
          </c:yVal>
          <c:smooth val="0"/>
          <c:extLst>
            <c:ext xmlns:c16="http://schemas.microsoft.com/office/drawing/2014/chart" uri="{C3380CC4-5D6E-409C-BE32-E72D297353CC}">
              <c16:uniqueId val="{00000003-FDD4-42E4-87E6-BD3964183DBC}"/>
            </c:ext>
          </c:extLst>
        </c:ser>
        <c:ser>
          <c:idx val="3"/>
          <c:order val="3"/>
          <c:tx>
            <c:v>RH=10_2</c:v>
          </c:tx>
          <c:spPr>
            <a:ln w="3175">
              <a:solidFill>
                <a:srgbClr val="0000FF"/>
              </a:solidFill>
              <a:prstDash val="solid"/>
            </a:ln>
          </c:spPr>
          <c:marker>
            <c:symbol val="none"/>
          </c:marker>
          <c:xVal>
            <c:numLit>
              <c:formatCode>General</c:formatCode>
              <c:ptCount val="21"/>
              <c:pt idx="0">
                <c:v>27.804923631172404</c:v>
              </c:pt>
              <c:pt idx="1">
                <c:v>28.803770180784756</c:v>
              </c:pt>
              <c:pt idx="2">
                <c:v>29.802862673887123</c:v>
              </c:pt>
              <c:pt idx="3">
                <c:v>30.802230253577527</c:v>
              </c:pt>
              <c:pt idx="4">
                <c:v>31.801904052668917</c:v>
              </c:pt>
              <c:pt idx="5">
                <c:v>32.801917289185013</c:v>
              </c:pt>
              <c:pt idx="6">
                <c:v>33.802305365200944</c:v>
              </c:pt>
              <c:pt idx="7">
                <c:v>34.803105969135679</c:v>
              </c:pt>
              <c:pt idx="8">
                <c:v>35.804359181609868</c:v>
              </c:pt>
              <c:pt idx="9">
                <c:v>36.806107584989242</c:v>
              </c:pt>
              <c:pt idx="10">
                <c:v>37.808396376741563</c:v>
              </c:pt>
              <c:pt idx="11">
                <c:v>38.811273486743076</c:v>
              </c:pt>
              <c:pt idx="12">
                <c:v>39.81478969867927</c:v>
              </c:pt>
              <c:pt idx="13">
                <c:v>40.818998044575913</c:v>
              </c:pt>
              <c:pt idx="14">
                <c:v>41.823956140919336</c:v>
              </c:pt>
              <c:pt idx="15">
                <c:v>42.829724214366031</c:v>
              </c:pt>
              <c:pt idx="16">
                <c:v>43.836365792343038</c:v>
              </c:pt>
              <c:pt idx="17">
                <c:v>44.843947933065749</c:v>
              </c:pt>
              <c:pt idx="18">
                <c:v>45.852541375331619</c:v>
              </c:pt>
              <c:pt idx="19">
                <c:v>46.86222069374503</c:v>
              </c:pt>
              <c:pt idx="20">
                <c:v>47.165347874114275</c:v>
              </c:pt>
            </c:numLit>
          </c:xVal>
          <c:yVal>
            <c:numLit>
              <c:formatCode>General</c:formatCode>
              <c:ptCount val="21"/>
              <c:pt idx="0">
                <c:v>2.3268337235576001E-3</c:v>
              </c:pt>
              <c:pt idx="1">
                <c:v>2.466676811153637E-3</c:v>
              </c:pt>
              <c:pt idx="2">
                <c:v>2.6138166712018933E-3</c:v>
              </c:pt>
              <c:pt idx="3">
                <c:v>2.7685741400948331E-3</c:v>
              </c:pt>
              <c:pt idx="4">
                <c:v>2.9312815010714525E-3</c:v>
              </c:pt>
              <c:pt idx="5">
                <c:v>3.1022828107865022E-3</c:v>
              </c:pt>
              <c:pt idx="6">
                <c:v>3.2819342352185372E-3</c:v>
              </c:pt>
              <c:pt idx="7">
                <c:v>3.4706043954107185E-3</c:v>
              </c:pt>
              <c:pt idx="8">
                <c:v>3.6686747235745365E-3</c:v>
              </c:pt>
              <c:pt idx="9">
                <c:v>3.87653983012467E-3</c:v>
              </c:pt>
              <c:pt idx="10">
                <c:v>4.094607882253176E-3</c:v>
              </c:pt>
              <c:pt idx="11">
                <c:v>4.3233009946946083E-3</c:v>
              </c:pt>
              <c:pt idx="12">
                <c:v>4.5630556333788666E-3</c:v>
              </c:pt>
              <c:pt idx="13">
                <c:v>4.8143664868622081E-3</c:v>
              </c:pt>
              <c:pt idx="14">
                <c:v>5.0776664167760535E-3</c:v>
              </c:pt>
              <c:pt idx="15">
                <c:v>5.3534333142334486E-3</c:v>
              </c:pt>
              <c:pt idx="16">
                <c:v>5.6421657767406772E-3</c:v>
              </c:pt>
              <c:pt idx="17">
                <c:v>5.9443790149535658E-3</c:v>
              </c:pt>
              <c:pt idx="18">
                <c:v>6.2606053522673184E-3</c:v>
              </c:pt>
              <c:pt idx="19">
                <c:v>6.5913947437551716E-3</c:v>
              </c:pt>
              <c:pt idx="20">
                <c:v>6.693555806651999E-3</c:v>
              </c:pt>
            </c:numLit>
          </c:yVal>
          <c:smooth val="1"/>
          <c:extLst>
            <c:ext xmlns:c16="http://schemas.microsoft.com/office/drawing/2014/chart" uri="{C3380CC4-5D6E-409C-BE32-E72D297353CC}">
              <c16:uniqueId val="{00000004-FDD4-42E4-87E6-BD3964183DBC}"/>
            </c:ext>
          </c:extLst>
        </c:ser>
        <c:ser>
          <c:idx val="4"/>
          <c:order val="4"/>
          <c:tx>
            <c:v>RH=10_Label2</c:v>
          </c:tx>
          <c:spPr>
            <a:ln w="3175">
              <a:solidFill>
                <a:srgbClr val="0000FF"/>
              </a:solidFill>
              <a:prstDash val="solid"/>
            </a:ln>
          </c:spPr>
          <c:marker>
            <c:symbol val="none"/>
          </c:marker>
          <c:dLbls>
            <c:dLbl>
              <c:idx val="0"/>
              <c:tx>
                <c:rich>
                  <a:bodyPr rot="-15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47.468582019792713</c:v>
              </c:pt>
            </c:numLit>
          </c:xVal>
          <c:yVal>
            <c:numLit>
              <c:formatCode>General</c:formatCode>
              <c:ptCount val="1"/>
              <c:pt idx="0">
                <c:v>6.7970942125870166E-3</c:v>
              </c:pt>
            </c:numLit>
          </c:yVal>
          <c:smooth val="0"/>
          <c:extLst>
            <c:ext xmlns:c16="http://schemas.microsoft.com/office/drawing/2014/chart" uri="{C3380CC4-5D6E-409C-BE32-E72D297353CC}">
              <c16:uniqueId val="{00000006-FDD4-42E4-87E6-BD3964183DBC}"/>
            </c:ext>
          </c:extLst>
        </c:ser>
        <c:ser>
          <c:idx val="5"/>
          <c:order val="5"/>
          <c:tx>
            <c:v>RH=10_3</c:v>
          </c:tx>
          <c:spPr>
            <a:ln w="3175">
              <a:solidFill>
                <a:srgbClr val="0000FF"/>
              </a:solidFill>
              <a:prstDash val="solid"/>
            </a:ln>
          </c:spPr>
          <c:marker>
            <c:symbol val="none"/>
          </c:marker>
          <c:xVal>
            <c:numLit>
              <c:formatCode>General</c:formatCode>
              <c:ptCount val="4"/>
              <c:pt idx="0">
                <c:v>47.77192535836096</c:v>
              </c:pt>
              <c:pt idx="1">
                <c:v>48.783887743051473</c:v>
              </c:pt>
              <c:pt idx="2">
                <c:v>49.797175474186403</c:v>
              </c:pt>
              <c:pt idx="3">
                <c:v>50</c:v>
              </c:pt>
            </c:numLit>
          </c:xVal>
          <c:yVal>
            <c:numLit>
              <c:formatCode>General</c:formatCode>
              <c:ptCount val="4"/>
              <c:pt idx="0">
                <c:v>6.9020257792945907E-3</c:v>
              </c:pt>
              <c:pt idx="1">
                <c:v>7.262065631820038E-3</c:v>
              </c:pt>
              <c:pt idx="2">
                <c:v>7.6383681948431099E-3</c:v>
              </c:pt>
              <c:pt idx="3">
                <c:v>7.7156347951563434E-3</c:v>
              </c:pt>
            </c:numLit>
          </c:yVal>
          <c:smooth val="1"/>
          <c:extLst>
            <c:ext xmlns:c16="http://schemas.microsoft.com/office/drawing/2014/chart" uri="{C3380CC4-5D6E-409C-BE32-E72D297353CC}">
              <c16:uniqueId val="{00000007-FDD4-42E4-87E6-BD3964183DBC}"/>
            </c:ext>
          </c:extLst>
        </c:ser>
        <c:ser>
          <c:idx val="6"/>
          <c:order val="6"/>
          <c:tx>
            <c:v>RH=20_1</c:v>
          </c:tx>
          <c:spPr>
            <a:ln w="3175">
              <a:solidFill>
                <a:srgbClr val="0000FF"/>
              </a:solidFill>
              <a:prstDash val="solid"/>
            </a:ln>
          </c:spPr>
          <c:marker>
            <c:symbol val="none"/>
          </c:marker>
          <c:xVal>
            <c:numLit>
              <c:formatCode>General</c:formatCode>
              <c:ptCount val="34"/>
              <c:pt idx="0">
                <c:v>-10.035560496732938</c:v>
              </c:pt>
              <c:pt idx="1">
                <c:v>-9.0382026964619619</c:v>
              </c:pt>
              <c:pt idx="2">
                <c:v>-8.0410020393756554</c:v>
              </c:pt>
              <c:pt idx="3">
                <c:v>-7.0439643991642971</c:v>
              </c:pt>
              <c:pt idx="4">
                <c:v>-6.0470955422909016</c:v>
              </c:pt>
              <c:pt idx="5">
                <c:v>-5.0504010849725072</c:v>
              </c:pt>
              <c:pt idx="6">
                <c:v>-4.0538864457460759</c:v>
              </c:pt>
              <c:pt idx="7">
                <c:v>-3.0575567933261141</c:v>
              </c:pt>
              <c:pt idx="8">
                <c:v>-2.0614169894474266</c:v>
              </c:pt>
              <c:pt idx="9">
                <c:v>-1.0654715263721464</c:v>
              </c:pt>
              <c:pt idx="10">
                <c:v>-6.97244587252972E-2</c:v>
              </c:pt>
              <c:pt idx="11">
                <c:v>0.92653092787105074</c:v>
              </c:pt>
              <c:pt idx="12">
                <c:v>1.9226701661646581</c:v>
              </c:pt>
              <c:pt idx="13">
                <c:v>2.9186888084423579</c:v>
              </c:pt>
              <c:pt idx="14">
                <c:v>3.9145899067468815</c:v>
              </c:pt>
              <c:pt idx="15">
                <c:v>4.9103773014566139</c:v>
              </c:pt>
              <c:pt idx="16">
                <c:v>5.9060538111202767</c:v>
              </c:pt>
              <c:pt idx="17">
                <c:v>6.9016267487543175</c:v>
              </c:pt>
              <c:pt idx="18">
                <c:v>7.8971027167532792</c:v>
              </c:pt>
              <c:pt idx="19">
                <c:v>8.8924893864465524</c:v>
              </c:pt>
              <c:pt idx="20">
                <c:v>9.8877955770160781</c:v>
              </c:pt>
              <c:pt idx="21">
                <c:v>10.883029001805786</c:v>
              </c:pt>
              <c:pt idx="22">
                <c:v>11.878203170401681</c:v>
              </c:pt>
              <c:pt idx="23">
                <c:v>12.873330854228927</c:v>
              </c:pt>
              <c:pt idx="24">
                <c:v>13.868426328102487</c:v>
              </c:pt>
              <c:pt idx="25">
                <c:v>14.863505469299307</c:v>
              </c:pt>
              <c:pt idx="26">
                <c:v>15.858585861032267</c:v>
              </c:pt>
              <c:pt idx="27">
                <c:v>16.853686900469274</c:v>
              </c:pt>
              <c:pt idx="28">
                <c:v>17.848829911447321</c:v>
              </c:pt>
              <c:pt idx="29">
                <c:v>18.844038262038808</c:v>
              </c:pt>
              <c:pt idx="30">
                <c:v>19.839337487135094</c:v>
              </c:pt>
              <c:pt idx="31">
                <c:v>20.83475541622126</c:v>
              </c:pt>
              <c:pt idx="32">
                <c:v>21.830322306525588</c:v>
              </c:pt>
              <c:pt idx="33">
                <c:v>22.826070981737747</c:v>
              </c:pt>
            </c:numLit>
          </c:xVal>
          <c:yVal>
            <c:numLit>
              <c:formatCode>General</c:formatCode>
              <c:ptCount val="34"/>
              <c:pt idx="0">
                <c:v>3.2055429850658324E-4</c:v>
              </c:pt>
              <c:pt idx="1">
                <c:v>3.5020879023814594E-4</c:v>
              </c:pt>
              <c:pt idx="2">
                <c:v>3.8235123852344135E-4</c:v>
              </c:pt>
              <c:pt idx="3">
                <c:v>4.1716832257387661E-4</c:v>
              </c:pt>
              <c:pt idx="4">
                <c:v>4.5485902020590482E-4</c:v>
              </c:pt>
              <c:pt idx="5">
                <c:v>4.9563530285770194E-4</c:v>
              </c:pt>
              <c:pt idx="6">
                <c:v>5.3972286360566622E-4</c:v>
              </c:pt>
              <c:pt idx="7">
                <c:v>5.873618795503245E-4</c:v>
              </c:pt>
              <c:pt idx="8">
                <c:v>6.3880781000941775E-4</c:v>
              </c:pt>
              <c:pt idx="9">
                <c:v>6.9433223203014031E-4</c:v>
              </c:pt>
              <c:pt idx="10">
                <c:v>7.5422371481342985E-4</c:v>
              </c:pt>
              <c:pt idx="11">
                <c:v>8.1094894186661099E-4</c:v>
              </c:pt>
              <c:pt idx="12">
                <c:v>8.7134646996364098E-4</c:v>
              </c:pt>
              <c:pt idx="13">
                <c:v>9.3570188408817544E-4</c:v>
              </c:pt>
              <c:pt idx="14">
                <c:v>1.0042374218400759E-3</c:v>
              </c:pt>
              <c:pt idx="15">
                <c:v>1.0771856001749857E-3</c:v>
              </c:pt>
              <c:pt idx="16">
                <c:v>1.154812634567477E-3</c:v>
              </c:pt>
              <c:pt idx="17">
                <c:v>1.2373529726576297E-3</c:v>
              </c:pt>
              <c:pt idx="18">
                <c:v>1.3250725415540391E-3</c:v>
              </c:pt>
              <c:pt idx="19">
                <c:v>1.4182491113921719E-3</c:v>
              </c:pt>
              <c:pt idx="20">
                <c:v>1.5171727086266814E-3</c:v>
              </c:pt>
              <c:pt idx="21">
                <c:v>1.622178442009625E-3</c:v>
              </c:pt>
              <c:pt idx="22">
                <c:v>1.7335541960372019E-3</c:v>
              </c:pt>
              <c:pt idx="23">
                <c:v>1.8516297681735034E-3</c:v>
              </c:pt>
              <c:pt idx="24">
                <c:v>1.9767490132750658E-3</c:v>
              </c:pt>
              <c:pt idx="25">
                <c:v>2.10927032081257E-3</c:v>
              </c:pt>
              <c:pt idx="26">
                <c:v>2.2495671062861596E-3</c:v>
              </c:pt>
              <c:pt idx="27">
                <c:v>2.3980283174961114E-3</c:v>
              </c:pt>
              <c:pt idx="28">
                <c:v>2.5550589563843114E-3</c:v>
              </c:pt>
              <c:pt idx="29">
                <c:v>2.7210806172209283E-3</c:v>
              </c:pt>
              <c:pt idx="30">
                <c:v>2.8965320419730616E-3</c:v>
              </c:pt>
              <c:pt idx="31">
                <c:v>3.0818696937599506E-3</c:v>
              </c:pt>
              <c:pt idx="32">
                <c:v>3.2775683493713736E-3</c:v>
              </c:pt>
              <c:pt idx="33">
                <c:v>3.4841217119041239E-3</c:v>
              </c:pt>
            </c:numLit>
          </c:yVal>
          <c:smooth val="1"/>
          <c:extLst>
            <c:ext xmlns:c16="http://schemas.microsoft.com/office/drawing/2014/chart" uri="{C3380CC4-5D6E-409C-BE32-E72D297353CC}">
              <c16:uniqueId val="{00000008-FDD4-42E4-87E6-BD3964183DBC}"/>
            </c:ext>
          </c:extLst>
        </c:ser>
        <c:ser>
          <c:idx val="7"/>
          <c:order val="7"/>
          <c:tx>
            <c:v>RH=20_Label1</c:v>
          </c:tx>
          <c:spPr>
            <a:ln w="3175">
              <a:solidFill>
                <a:srgbClr val="0000FF"/>
              </a:solidFill>
              <a:prstDash val="solid"/>
            </a:ln>
          </c:spPr>
          <c:marker>
            <c:symbol val="none"/>
          </c:marker>
          <c:dLbls>
            <c:dLbl>
              <c:idx val="0"/>
              <c:tx>
                <c:rich>
                  <a:bodyPr rot="-9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20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23.4634618281546</c:v>
              </c:pt>
            </c:numLit>
          </c:xVal>
          <c:yVal>
            <c:numLit>
              <c:formatCode>General</c:formatCode>
              <c:ptCount val="1"/>
              <c:pt idx="0">
                <c:v>3.6222486187216128E-3</c:v>
              </c:pt>
            </c:numLit>
          </c:yVal>
          <c:smooth val="0"/>
          <c:extLst>
            <c:ext xmlns:c16="http://schemas.microsoft.com/office/drawing/2014/chart" uri="{C3380CC4-5D6E-409C-BE32-E72D297353CC}">
              <c16:uniqueId val="{0000000A-FDD4-42E4-87E6-BD3964183DBC}"/>
            </c:ext>
          </c:extLst>
        </c:ser>
        <c:ser>
          <c:idx val="8"/>
          <c:order val="8"/>
          <c:tx>
            <c:v>RH=20_2</c:v>
          </c:tx>
          <c:spPr>
            <a:ln w="3175">
              <a:solidFill>
                <a:srgbClr val="0000FF"/>
              </a:solidFill>
              <a:prstDash val="solid"/>
            </a:ln>
          </c:spPr>
          <c:marker>
            <c:symbol val="none"/>
          </c:marker>
          <c:xVal>
            <c:numLit>
              <c:formatCode>General</c:formatCode>
              <c:ptCount val="21"/>
              <c:pt idx="0">
                <c:v>24.090989965522958</c:v>
              </c:pt>
              <c:pt idx="1">
                <c:v>25.08728670106132</c:v>
              </c:pt>
              <c:pt idx="2">
                <c:v>26.083889525140563</c:v>
              </c:pt>
              <c:pt idx="3">
                <c:v>27.080846559796672</c:v>
              </c:pt>
              <c:pt idx="4">
                <c:v>28.078206710864933</c:v>
              </c:pt>
              <c:pt idx="5">
                <c:v>29.07602246563086</c:v>
              </c:pt>
              <c:pt idx="6">
                <c:v>30.074350079513291</c:v>
              </c:pt>
              <c:pt idx="7">
                <c:v>31.073249770509715</c:v>
              </c:pt>
              <c:pt idx="8">
                <c:v>32.072785921759255</c:v>
              </c:pt>
              <c:pt idx="9">
                <c:v>33.073027292605012</c:v>
              </c:pt>
              <c:pt idx="10">
                <c:v>34.074047238566301</c:v>
              </c:pt>
              <c:pt idx="11">
                <c:v>35.075923940662001</c:v>
              </c:pt>
              <c:pt idx="12">
                <c:v>36.078740644560909</c:v>
              </c:pt>
              <c:pt idx="13">
                <c:v>37.082585910071032</c:v>
              </c:pt>
              <c:pt idx="14">
                <c:v>38.087553871520392</c:v>
              </c:pt>
              <c:pt idx="15">
                <c:v>39.093744509625317</c:v>
              </c:pt>
              <c:pt idx="16">
                <c:v>40.101263475245702</c:v>
              </c:pt>
              <c:pt idx="17">
                <c:v>41.110222635937923</c:v>
              </c:pt>
              <c:pt idx="18">
                <c:v>42.120742613179722</c:v>
              </c:pt>
              <c:pt idx="19">
                <c:v>43.132949797257567</c:v>
              </c:pt>
              <c:pt idx="20">
                <c:v>43.143080835819099</c:v>
              </c:pt>
            </c:numLit>
          </c:xVal>
          <c:yVal>
            <c:numLit>
              <c:formatCode>General</c:formatCode>
              <c:ptCount val="21"/>
              <c:pt idx="0">
                <c:v>3.762899562535327E-3</c:v>
              </c:pt>
              <c:pt idx="1">
                <c:v>3.9960515227318218E-3</c:v>
              </c:pt>
              <c:pt idx="2">
                <c:v>4.2418774317838923E-3</c:v>
              </c:pt>
              <c:pt idx="3">
                <c:v>4.5009049866489162E-3</c:v>
              </c:pt>
              <c:pt idx="4">
                <c:v>4.7737395125384907E-3</c:v>
              </c:pt>
              <c:pt idx="5">
                <c:v>5.0610096938973562E-3</c:v>
              </c:pt>
              <c:pt idx="6">
                <c:v>5.3633683765682734E-3</c:v>
              </c:pt>
              <c:pt idx="7">
                <c:v>5.6814934027757868E-3</c:v>
              </c:pt>
              <c:pt idx="8">
                <c:v>6.0160884810445394E-3</c:v>
              </c:pt>
              <c:pt idx="9">
                <c:v>6.3678840933275062E-3</c:v>
              </c:pt>
              <c:pt idx="10">
                <c:v>6.7376384417931747E-3</c:v>
              </c:pt>
              <c:pt idx="11">
                <c:v>7.1261384379044338E-3</c:v>
              </c:pt>
              <c:pt idx="12">
                <c:v>7.5342007366225091E-3</c:v>
              </c:pt>
              <c:pt idx="13">
                <c:v>7.9626728187814425E-3</c:v>
              </c:pt>
              <c:pt idx="14">
                <c:v>8.4124341249109912E-3</c:v>
              </c:pt>
              <c:pt idx="15">
                <c:v>8.8843972440316565E-3</c:v>
              </c:pt>
              <c:pt idx="16">
                <c:v>9.3795347447102571E-3</c:v>
              </c:pt>
              <c:pt idx="17">
                <c:v>9.8988796663613213E-3</c:v>
              </c:pt>
              <c:pt idx="18">
                <c:v>1.0443387106594744E-2</c:v>
              </c:pt>
              <c:pt idx="19">
                <c:v>1.1014116215220278E-2</c:v>
              </c:pt>
              <c:pt idx="20">
                <c:v>1.1019959610694009E-2</c:v>
              </c:pt>
            </c:numLit>
          </c:yVal>
          <c:smooth val="1"/>
          <c:extLst>
            <c:ext xmlns:c16="http://schemas.microsoft.com/office/drawing/2014/chart" uri="{C3380CC4-5D6E-409C-BE32-E72D297353CC}">
              <c16:uniqueId val="{0000000B-FDD4-42E4-87E6-BD3964183DBC}"/>
            </c:ext>
          </c:extLst>
        </c:ser>
        <c:ser>
          <c:idx val="9"/>
          <c:order val="9"/>
          <c:tx>
            <c:v>RH=20_Label2</c:v>
          </c:tx>
          <c:spPr>
            <a:ln w="3175">
              <a:solidFill>
                <a:srgbClr val="0000FF"/>
              </a:solidFill>
              <a:prstDash val="solid"/>
            </a:ln>
          </c:spPr>
          <c:marker>
            <c:symbol val="none"/>
          </c:marker>
          <c:dLbls>
            <c:dLbl>
              <c:idx val="0"/>
              <c:tx>
                <c:rich>
                  <a:bodyPr rot="-22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20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43.447097324768826</c:v>
              </c:pt>
            </c:numLit>
          </c:xVal>
          <c:yVal>
            <c:numLit>
              <c:formatCode>General</c:formatCode>
              <c:ptCount val="1"/>
              <c:pt idx="0">
                <c:v>1.1196537306347976E-2</c:v>
              </c:pt>
            </c:numLit>
          </c:yVal>
          <c:smooth val="0"/>
          <c:extLst>
            <c:ext xmlns:c16="http://schemas.microsoft.com/office/drawing/2014/chart" uri="{C3380CC4-5D6E-409C-BE32-E72D297353CC}">
              <c16:uniqueId val="{0000000D-FDD4-42E4-87E6-BD3964183DBC}"/>
            </c:ext>
          </c:extLst>
        </c:ser>
        <c:ser>
          <c:idx val="10"/>
          <c:order val="10"/>
          <c:tx>
            <c:v>RH=20_3</c:v>
          </c:tx>
          <c:spPr>
            <a:ln w="3175">
              <a:solidFill>
                <a:srgbClr val="0000FF"/>
              </a:solidFill>
              <a:prstDash val="solid"/>
            </a:ln>
          </c:spPr>
          <c:marker>
            <c:symbol val="none"/>
          </c:marker>
          <c:dLbls>
            <c:dLbl>
              <c:idx val="3"/>
              <c:tx>
                <c:rich>
                  <a:bodyPr rot="-2520000" vert="horz" wrap="square" lIns="0" tIns="0" rIns="0" bIns="0" anchor="ctr">
                    <a:spAutoFit/>
                  </a:bodyPr>
                  <a:lstStyle/>
                  <a:p>
                    <a:pPr algn="ctr">
                      <a:defRPr altLang="en-US" sz="700" i="1" u="none" strike="noStrike" baseline="0">
                        <a:latin typeface="ＭＳ Ｐ明朝"/>
                        <a:ea typeface="ＭＳ Ｐ明朝"/>
                        <a:cs typeface="ＭＳ Ｐ明朝"/>
                      </a:defRPr>
                    </a:pPr>
                    <a:r>
                      <a:rPr lang="ja-JP" altLang="en-US"/>
                      <a:t>相対湿度 </a:t>
                    </a:r>
                    <a:r>
                      <a:rPr lang="el-GR"/>
                      <a:t>φ[</a:t>
                    </a:r>
                    <a:r>
                      <a:rPr lang="ja-JP" altLang="el-GR"/>
                      <a:t>％</a:t>
                    </a:r>
                    <a:r>
                      <a:rPr lang="el-GR"/>
                      <a:t>]
</a:t>
                    </a:r>
                    <a:endParaRPr lang="el-GR" altLang="ja-JP"/>
                  </a:p>
                </c:rich>
              </c:tx>
              <c:spPr>
                <a:solidFill>
                  <a:srgbClr val="FFFFFF">
                    <a:alpha val="0"/>
                  </a:srgbClr>
                </a:solidFill>
                <a:ln>
                  <a:noFill/>
                </a:ln>
                <a:effectLst/>
              </c:sp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E-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8"/>
              <c:pt idx="0">
                <c:v>43.751281523767183</c:v>
              </c:pt>
              <c:pt idx="1">
                <c:v>44.766489529880268</c:v>
              </c:pt>
              <c:pt idx="2">
                <c:v>45.783750430022089</c:v>
              </c:pt>
              <c:pt idx="3">
                <c:v>46.803219082404993</c:v>
              </c:pt>
              <c:pt idx="4">
                <c:v>47.825059125327186</c:v>
              </c:pt>
              <c:pt idx="5">
                <c:v>48.849443401728202</c:v>
              </c:pt>
              <c:pt idx="6">
                <c:v>49.876554405498752</c:v>
              </c:pt>
              <c:pt idx="7">
                <c:v>50.000000000000007</c:v>
              </c:pt>
            </c:numLit>
          </c:xVal>
          <c:yVal>
            <c:numLit>
              <c:formatCode>General</c:formatCode>
              <c:ptCount val="8"/>
              <c:pt idx="0">
                <c:v>1.1375605022333236E-2</c:v>
              </c:pt>
              <c:pt idx="1">
                <c:v>1.199087837496329E-2</c:v>
              </c:pt>
              <c:pt idx="2">
                <c:v>1.2635330853661442E-2</c:v>
              </c:pt>
              <c:pt idx="3">
                <c:v>1.3310174231557656E-2</c:v>
              </c:pt>
              <c:pt idx="4">
                <c:v>1.4016666646594227E-2</c:v>
              </c:pt>
              <c:pt idx="5">
                <c:v>1.475611456481781E-2</c:v>
              </c:pt>
              <c:pt idx="6">
                <c:v>1.5529874857761593E-2</c:v>
              </c:pt>
              <c:pt idx="7">
                <c:v>1.5625098253228449E-2</c:v>
              </c:pt>
            </c:numLit>
          </c:yVal>
          <c:smooth val="1"/>
          <c:extLst>
            <c:ext xmlns:c16="http://schemas.microsoft.com/office/drawing/2014/chart" uri="{C3380CC4-5D6E-409C-BE32-E72D297353CC}">
              <c16:uniqueId val="{0000000F-FDD4-42E4-87E6-BD3964183DBC}"/>
            </c:ext>
          </c:extLst>
        </c:ser>
        <c:ser>
          <c:idx val="11"/>
          <c:order val="11"/>
          <c:tx>
            <c:v>RH=30_1</c:v>
          </c:tx>
          <c:spPr>
            <a:ln w="3175">
              <a:solidFill>
                <a:srgbClr val="0000FF"/>
              </a:solidFill>
              <a:prstDash val="solid"/>
            </a:ln>
          </c:spPr>
          <c:marker>
            <c:symbol val="none"/>
          </c:marker>
          <c:xVal>
            <c:numLit>
              <c:formatCode>General</c:formatCode>
              <c:ptCount val="32"/>
              <c:pt idx="0">
                <c:v>-10.053354493943724</c:v>
              </c:pt>
              <c:pt idx="1">
                <c:v>-9.0573201818931413</c:v>
              </c:pt>
              <c:pt idx="2">
                <c:v>-8.0615219688362885</c:v>
              </c:pt>
              <c:pt idx="3">
                <c:v>-7.0659687216933014</c:v>
              </c:pt>
              <c:pt idx="4">
                <c:v>-6.0706691538991491</c:v>
              </c:pt>
              <c:pt idx="5">
                <c:v>-5.0756317616842264</c:v>
              </c:pt>
              <c:pt idx="6">
                <c:v>-4.0808647537958755</c:v>
              </c:pt>
              <c:pt idx="7">
                <c:v>-3.0863759742222392</c:v>
              </c:pt>
              <c:pt idx="8">
                <c:v>-2.0921728174581125</c:v>
              </c:pt>
              <c:pt idx="9">
                <c:v>-1.0982621358298799</c:v>
              </c:pt>
              <c:pt idx="10">
                <c:v>-0.10465013837261665</c:v>
              </c:pt>
              <c:pt idx="11">
                <c:v>0.88972450219737909</c:v>
              </c:pt>
              <c:pt idx="12">
                <c:v>1.8839239424018834</c:v>
              </c:pt>
              <c:pt idx="13">
                <c:v>2.8779414006588313</c:v>
              </c:pt>
              <c:pt idx="14">
                <c:v>3.871781350388404</c:v>
              </c:pt>
              <c:pt idx="15">
                <c:v>4.8654494404600808</c:v>
              </c:pt>
              <c:pt idx="16">
                <c:v>5.8589497747029542</c:v>
              </c:pt>
              <c:pt idx="17">
                <c:v>6.8522932008453763</c:v>
              </c:pt>
              <c:pt idx="18">
                <c:v>7.8454894897457255</c:v>
              </c:pt>
              <c:pt idx="19">
                <c:v>8.8385500091965099</c:v>
              </c:pt>
              <c:pt idx="20">
                <c:v>9.8314878428015433</c:v>
              </c:pt>
              <c:pt idx="21">
                <c:v>10.824314400976062</c:v>
              </c:pt>
              <c:pt idx="22">
                <c:v>11.817049800389974</c:v>
              </c:pt>
              <c:pt idx="23">
                <c:v>12.809713039921014</c:v>
              </c:pt>
              <c:pt idx="24">
                <c:v>13.802325371823336</c:v>
              </c:pt>
              <c:pt idx="25">
                <c:v>14.794910452175319</c:v>
              </c:pt>
              <c:pt idx="26">
                <c:v>15.787494498334434</c:v>
              </c:pt>
              <c:pt idx="27">
                <c:v>16.780106453672715</c:v>
              </c:pt>
              <c:pt idx="28">
                <c:v>17.772778159883224</c:v>
              </c:pt>
              <c:pt idx="29">
                <c:v>18.765544537166129</c:v>
              </c:pt>
              <c:pt idx="30">
                <c:v>19.758443772623167</c:v>
              </c:pt>
              <c:pt idx="31">
                <c:v>20.24502537845661</c:v>
              </c:pt>
            </c:numLit>
          </c:xVal>
          <c:yVal>
            <c:numLit>
              <c:formatCode>General</c:formatCode>
              <c:ptCount val="32"/>
              <c:pt idx="0">
                <c:v>4.8095538447478798E-4</c:v>
              </c:pt>
              <c:pt idx="1">
                <c:v>5.2546111704482746E-4</c:v>
              </c:pt>
              <c:pt idx="2">
                <c:v>5.7370319474700678E-4</c:v>
              </c:pt>
              <c:pt idx="3">
                <c:v>6.2596240354141543E-4</c:v>
              </c:pt>
              <c:pt idx="4">
                <c:v>6.8253810313502938E-4</c:v>
              </c:pt>
              <c:pt idx="5">
                <c:v>7.4374928889864127E-4</c:v>
              </c:pt>
              <c:pt idx="6">
                <c:v>8.0993570607976032E-4</c:v>
              </c:pt>
              <c:pt idx="7">
                <c:v>8.8145901874186257E-4</c:v>
              </c:pt>
              <c:pt idx="8">
                <c:v>9.5870403600972981E-4</c:v>
              </c:pt>
              <c:pt idx="9">
                <c:v>1.042079998364528E-3</c:v>
              </c:pt>
              <c:pt idx="10">
                <c:v>1.1320219269123908E-3</c:v>
              </c:pt>
              <c:pt idx="11">
                <c:v>1.2172169276874775E-3</c:v>
              </c:pt>
              <c:pt idx="12">
                <c:v>1.3079358640647994E-3</c:v>
              </c:pt>
              <c:pt idx="13">
                <c:v>1.4046093678473526E-3</c:v>
              </c:pt>
              <c:pt idx="14">
                <c:v>1.5075731826702395E-3</c:v>
              </c:pt>
              <c:pt idx="15">
                <c:v>1.6171787681858833E-3</c:v>
              </c:pt>
              <c:pt idx="16">
                <c:v>1.7338285269895967E-3</c:v>
              </c:pt>
              <c:pt idx="17">
                <c:v>1.8578774687365771E-3</c:v>
              </c:pt>
              <c:pt idx="18">
                <c:v>1.9897282810522198E-3</c:v>
              </c:pt>
              <c:pt idx="19">
                <c:v>2.1298018718635013E-3</c:v>
              </c:pt>
              <c:pt idx="20">
                <c:v>2.278538039538269E-3</c:v>
              </c:pt>
              <c:pt idx="21">
                <c:v>2.4364448941009312E-3</c:v>
              </c:pt>
              <c:pt idx="22">
                <c:v>2.6039601132949388E-3</c:v>
              </c:pt>
              <c:pt idx="23">
                <c:v>2.7815850310877644E-3</c:v>
              </c:pt>
              <c:pt idx="24">
                <c:v>2.9698428307306547E-3</c:v>
              </c:pt>
              <c:pt idx="25">
                <c:v>3.1692793411924403E-3</c:v>
              </c:pt>
              <c:pt idx="26">
                <c:v>3.3804638626748922E-3</c:v>
              </c:pt>
              <c:pt idx="27">
                <c:v>3.6039900228942794E-3</c:v>
              </c:pt>
              <c:pt idx="28">
                <c:v>3.840476665952176E-3</c:v>
              </c:pt>
              <c:pt idx="29">
                <c:v>4.0905687757696188E-3</c:v>
              </c:pt>
              <c:pt idx="30">
                <c:v>4.3549384362202544E-3</c:v>
              </c:pt>
              <c:pt idx="31">
                <c:v>4.4899026259122817E-3</c:v>
              </c:pt>
            </c:numLit>
          </c:yVal>
          <c:smooth val="1"/>
          <c:extLst>
            <c:ext xmlns:c16="http://schemas.microsoft.com/office/drawing/2014/chart" uri="{C3380CC4-5D6E-409C-BE32-E72D297353CC}">
              <c16:uniqueId val="{00000010-FDD4-42E4-87E6-BD3964183DBC}"/>
            </c:ext>
          </c:extLst>
        </c:ser>
        <c:ser>
          <c:idx val="12"/>
          <c:order val="12"/>
          <c:tx>
            <c:v>RH=30_Label1</c:v>
          </c:tx>
          <c:spPr>
            <a:ln w="3175">
              <a:solidFill>
                <a:srgbClr val="0000FF"/>
              </a:solidFill>
              <a:prstDash val="solid"/>
            </a:ln>
          </c:spPr>
          <c:marker>
            <c:symbol val="none"/>
          </c:marker>
          <c:dLbls>
            <c:dLbl>
              <c:idx val="0"/>
              <c:tx>
                <c:rich>
                  <a:bodyPr rot="-12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20.811108461403002</c:v>
              </c:pt>
            </c:numLit>
          </c:xVal>
          <c:yVal>
            <c:numLit>
              <c:formatCode>General</c:formatCode>
              <c:ptCount val="1"/>
              <c:pt idx="0">
                <c:v>4.6515387384462158E-3</c:v>
              </c:pt>
            </c:numLit>
          </c:yVal>
          <c:smooth val="0"/>
          <c:extLst>
            <c:ext xmlns:c16="http://schemas.microsoft.com/office/drawing/2014/chart" uri="{C3380CC4-5D6E-409C-BE32-E72D297353CC}">
              <c16:uniqueId val="{00000012-FDD4-42E4-87E6-BD3964183DBC}"/>
            </c:ext>
          </c:extLst>
        </c:ser>
        <c:ser>
          <c:idx val="13"/>
          <c:order val="13"/>
          <c:tx>
            <c:v>RH=30_2</c:v>
          </c:tx>
          <c:spPr>
            <a:ln w="3175">
              <a:solidFill>
                <a:srgbClr val="0000FF"/>
              </a:solidFill>
              <a:prstDash val="solid"/>
            </a:ln>
          </c:spPr>
          <c:marker>
            <c:symbol val="none"/>
          </c:marker>
          <c:xVal>
            <c:numLit>
              <c:formatCode>General</c:formatCode>
              <c:ptCount val="18"/>
              <c:pt idx="0">
                <c:v>21.377263818739706</c:v>
              </c:pt>
              <c:pt idx="1">
                <c:v>22.370720895339069</c:v>
              </c:pt>
              <c:pt idx="2">
                <c:v>23.364480102613534</c:v>
              </c:pt>
              <c:pt idx="3">
                <c:v>24.35859746559164</c:v>
              </c:pt>
              <c:pt idx="4">
                <c:v>25.353129999964821</c:v>
              </c:pt>
              <c:pt idx="5">
                <c:v>26.348144260675021</c:v>
              </c:pt>
              <c:pt idx="6">
                <c:v>27.343712590614235</c:v>
              </c:pt>
              <c:pt idx="7">
                <c:v>28.339910613496379</c:v>
              </c:pt>
              <c:pt idx="8">
                <c:v>29.336819542810858</c:v>
              </c:pt>
              <c:pt idx="9">
                <c:v>30.334526485832559</c:v>
              </c:pt>
              <c:pt idx="10">
                <c:v>31.333124762061246</c:v>
              </c:pt>
              <c:pt idx="11">
                <c:v>32.332714236929732</c:v>
              </c:pt>
              <c:pt idx="12">
                <c:v>33.333401671690773</c:v>
              </c:pt>
              <c:pt idx="13">
                <c:v>34.335301090470558</c:v>
              </c:pt>
              <c:pt idx="14">
                <c:v>35.338534165561015</c:v>
              </c:pt>
              <c:pt idx="15">
                <c:v>36.343230622116273</c:v>
              </c:pt>
              <c:pt idx="16">
                <c:v>37.349528663520069</c:v>
              </c:pt>
              <c:pt idx="17">
                <c:v>38.286952001805297</c:v>
              </c:pt>
            </c:numLit>
          </c:xVal>
          <c:yVal>
            <c:numLit>
              <c:formatCode>General</c:formatCode>
              <c:ptCount val="18"/>
              <c:pt idx="0">
                <c:v>4.8182920461159124E-3</c:v>
              </c:pt>
              <c:pt idx="1">
                <c:v>5.1236299709849099E-3</c:v>
              </c:pt>
              <c:pt idx="2">
                <c:v>5.445929040633163E-3</c:v>
              </c:pt>
              <c:pt idx="3">
                <c:v>5.7860005173922934E-3</c:v>
              </c:pt>
              <c:pt idx="4">
                <c:v>6.1447668346722162E-3</c:v>
              </c:pt>
              <c:pt idx="5">
                <c:v>6.5230875389578839E-3</c:v>
              </c:pt>
              <c:pt idx="6">
                <c:v>6.9218359323902426E-3</c:v>
              </c:pt>
              <c:pt idx="7">
                <c:v>7.3419657449303828E-3</c:v>
              </c:pt>
              <c:pt idx="8">
                <c:v>7.7844695692135405E-3</c:v>
              </c:pt>
              <c:pt idx="9">
                <c:v>8.2503804034741533E-3</c:v>
              </c:pt>
              <c:pt idx="10">
                <c:v>8.7407732735813454E-3</c:v>
              </c:pt>
              <c:pt idx="11">
                <c:v>9.256766939931332E-3</c:v>
              </c:pt>
              <c:pt idx="12">
                <c:v>9.7995256954131298E-3</c:v>
              </c:pt>
              <c:pt idx="13">
                <c:v>1.0370261261171108E-2</c:v>
              </c:pt>
              <c:pt idx="14">
                <c:v>1.0970234787438431E-2</c:v>
              </c:pt>
              <c:pt idx="15">
                <c:v>1.1600758967316551E-2</c:v>
              </c:pt>
              <c:pt idx="16">
                <c:v>1.226320027202504E-2</c:v>
              </c:pt>
              <c:pt idx="17">
                <c:v>1.2909160753810515E-2</c:v>
              </c:pt>
            </c:numLit>
          </c:yVal>
          <c:smooth val="1"/>
          <c:extLst>
            <c:ext xmlns:c16="http://schemas.microsoft.com/office/drawing/2014/chart" uri="{C3380CC4-5D6E-409C-BE32-E72D297353CC}">
              <c16:uniqueId val="{00000013-FDD4-42E4-87E6-BD3964183DBC}"/>
            </c:ext>
          </c:extLst>
        </c:ser>
        <c:ser>
          <c:idx val="14"/>
          <c:order val="14"/>
          <c:tx>
            <c:v>RH=30_Label2</c:v>
          </c:tx>
          <c:spPr>
            <a:ln w="3175">
              <a:solidFill>
                <a:srgbClr val="0000FF"/>
              </a:solidFill>
              <a:prstDash val="solid"/>
            </a:ln>
          </c:spPr>
          <c:marker>
            <c:symbol val="none"/>
          </c:marker>
          <c:dLbls>
            <c:dLbl>
              <c:idx val="0"/>
              <c:tx>
                <c:rich>
                  <a:bodyPr rot="-264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30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38.589689789328688</c:v>
              </c:pt>
            </c:numLit>
          </c:xVal>
          <c:yVal>
            <c:numLit>
              <c:formatCode>General</c:formatCode>
              <c:ptCount val="1"/>
              <c:pt idx="0">
                <c:v>1.3123881389130688E-2</c:v>
              </c:pt>
            </c:numLit>
          </c:yVal>
          <c:smooth val="0"/>
          <c:extLst>
            <c:ext xmlns:c16="http://schemas.microsoft.com/office/drawing/2014/chart" uri="{C3380CC4-5D6E-409C-BE32-E72D297353CC}">
              <c16:uniqueId val="{00000015-FDD4-42E4-87E6-BD3964183DBC}"/>
            </c:ext>
          </c:extLst>
        </c:ser>
        <c:ser>
          <c:idx val="15"/>
          <c:order val="15"/>
          <c:tx>
            <c:v>RH=30_3</c:v>
          </c:tx>
          <c:spPr>
            <a:ln w="3175">
              <a:solidFill>
                <a:srgbClr val="0000FF"/>
              </a:solidFill>
              <a:prstDash val="solid"/>
            </a:ln>
          </c:spPr>
          <c:marker>
            <c:symbol val="none"/>
          </c:marker>
          <c:xVal>
            <c:numLit>
              <c:formatCode>General</c:formatCode>
              <c:ptCount val="12"/>
              <c:pt idx="0">
                <c:v>38.892602344462084</c:v>
              </c:pt>
              <c:pt idx="1">
                <c:v>39.903630523991851</c:v>
              </c:pt>
              <c:pt idx="2">
                <c:v>40.916820712497518</c:v>
              </c:pt>
              <c:pt idx="3">
                <c:v>41.932357840698131</c:v>
              </c:pt>
              <c:pt idx="4">
                <c:v>42.950435837011995</c:v>
              </c:pt>
              <c:pt idx="5">
                <c:v>43.971260512090304</c:v>
              </c:pt>
              <c:pt idx="6">
                <c:v>44.995050194605206</c:v>
              </c:pt>
              <c:pt idx="7">
                <c:v>46.022036404376692</c:v>
              </c:pt>
              <c:pt idx="8">
                <c:v>47.052464565732187</c:v>
              </c:pt>
              <c:pt idx="9">
                <c:v>48.086594764263893</c:v>
              </c:pt>
              <c:pt idx="10">
                <c:v>49.124702550447587</c:v>
              </c:pt>
              <c:pt idx="11">
                <c:v>50</c:v>
              </c:pt>
            </c:numLit>
          </c:xVal>
          <c:yVal>
            <c:numLit>
              <c:formatCode>General</c:formatCode>
              <c:ptCount val="12"/>
              <c:pt idx="0">
                <c:v>1.3341766926117184E-2</c:v>
              </c:pt>
              <c:pt idx="1">
                <c:v>1.4091468488515061E-2</c:v>
              </c:pt>
              <c:pt idx="2">
                <c:v>1.4878506983621821E-2</c:v>
              </c:pt>
              <c:pt idx="3">
                <c:v>1.5704411637157415E-2</c:v>
              </c:pt>
              <c:pt idx="4">
                <c:v>1.6570894482639917E-2</c:v>
              </c:pt>
              <c:pt idx="5">
                <c:v>1.7479739729448066E-2</c:v>
              </c:pt>
              <c:pt idx="6">
                <c:v>1.8432807276633257E-2</c:v>
              </c:pt>
              <c:pt idx="7">
                <c:v>1.9432036457920871E-2</c:v>
              </c:pt>
              <c:pt idx="8">
                <c:v>2.0479450036616827E-2</c:v>
              </c:pt>
              <c:pt idx="9">
                <c:v>2.1577158470815844E-2</c:v>
              </c:pt>
              <c:pt idx="10">
                <c:v>2.272736447115447E-2</c:v>
              </c:pt>
              <c:pt idx="11">
                <c:v>2.3735787197097544E-2</c:v>
              </c:pt>
            </c:numLit>
          </c:yVal>
          <c:smooth val="1"/>
          <c:extLst>
            <c:ext xmlns:c16="http://schemas.microsoft.com/office/drawing/2014/chart" uri="{C3380CC4-5D6E-409C-BE32-E72D297353CC}">
              <c16:uniqueId val="{00000016-FDD4-42E4-87E6-BD3964183DBC}"/>
            </c:ext>
          </c:extLst>
        </c:ser>
        <c:ser>
          <c:idx val="16"/>
          <c:order val="16"/>
          <c:tx>
            <c:v>RH=40_1</c:v>
          </c:tx>
          <c:spPr>
            <a:ln w="3175">
              <a:solidFill>
                <a:srgbClr val="0000FF"/>
              </a:solidFill>
              <a:prstDash val="solid"/>
            </a:ln>
          </c:spPr>
          <c:marker>
            <c:symbol val="none"/>
          </c:marker>
          <c:xVal>
            <c:numLit>
              <c:formatCode>General</c:formatCode>
              <c:ptCount val="30"/>
              <c:pt idx="0">
                <c:v>-10.071157666503382</c:v>
              </c:pt>
              <c:pt idx="1">
                <c:v>-9.0764484375794456</c:v>
              </c:pt>
              <c:pt idx="2">
                <c:v>-8.0820545203209271</c:v>
              </c:pt>
              <c:pt idx="3">
                <c:v>-7.0879878126509359</c:v>
              </c:pt>
              <c:pt idx="4">
                <c:v>-6.094260017697489</c:v>
              </c:pt>
              <c:pt idx="5">
                <c:v>-5.1008825599224101</c:v>
              </c:pt>
              <c:pt idx="6">
                <c:v>-4.107866492592299</c:v>
              </c:pt>
              <c:pt idx="7">
                <c:v>-3.1152223960079723</c:v>
              </c:pt>
              <c:pt idx="8">
                <c:v>-2.1229602658786209</c:v>
              </c:pt>
              <c:pt idx="9">
                <c:v>-1.1310893911950206</c:v>
              </c:pt>
              <c:pt idx="10">
                <c:v>-0.1396182209221522</c:v>
              </c:pt>
              <c:pt idx="11">
                <c:v>0.85287002497976261</c:v>
              </c:pt>
              <c:pt idx="12">
                <c:v>1.8451233619897396</c:v>
              </c:pt>
              <c:pt idx="13">
                <c:v>2.8371326004330104</c:v>
              </c:pt>
              <c:pt idx="14">
                <c:v>3.8289035643484142</c:v>
              </c:pt>
              <c:pt idx="15">
                <c:v>4.8204436354700766</c:v>
              </c:pt>
              <c:pt idx="16">
                <c:v>5.8117581188760123</c:v>
              </c:pt>
              <c:pt idx="17">
                <c:v>6.8028613142570338</c:v>
              </c:pt>
              <c:pt idx="18">
                <c:v>7.7937660706380818</c:v>
              </c:pt>
              <c:pt idx="19">
                <c:v>8.784487357391205</c:v>
              </c:pt>
              <c:pt idx="20">
                <c:v>9.7750424233722342</c:v>
              </c:pt>
              <c:pt idx="21">
                <c:v>10.765446266884746</c:v>
              </c:pt>
              <c:pt idx="22">
                <c:v>11.755725510122451</c:v>
              </c:pt>
              <c:pt idx="23">
                <c:v>12.745905270364457</c:v>
              </c:pt>
              <c:pt idx="24">
                <c:v>13.736013666649088</c:v>
              </c:pt>
              <c:pt idx="25">
                <c:v>14.726082022781892</c:v>
              </c:pt>
              <c:pt idx="26">
                <c:v>15.71614508022641</c:v>
              </c:pt>
              <c:pt idx="27">
                <c:v>16.706241221322188</c:v>
              </c:pt>
              <c:pt idx="28">
                <c:v>17.696412703306457</c:v>
              </c:pt>
              <c:pt idx="29">
                <c:v>18.171735229623049</c:v>
              </c:pt>
            </c:numLit>
          </c:xVal>
          <c:yVal>
            <c:numLit>
              <c:formatCode>General</c:formatCode>
              <c:ptCount val="30"/>
              <c:pt idx="0">
                <c:v>6.4143918012905593E-4</c:v>
              </c:pt>
              <c:pt idx="1">
                <c:v>7.008121760973331E-4</c:v>
              </c:pt>
              <c:pt idx="2">
                <c:v>7.651728535674235E-4</c:v>
              </c:pt>
              <c:pt idx="3">
                <c:v>8.3489661881570713E-4</c:v>
              </c:pt>
              <c:pt idx="4">
                <c:v>9.1038381147920844E-4</c:v>
              </c:pt>
              <c:pt idx="5">
                <c:v>9.9206114645107807E-4</c:v>
              </c:pt>
              <c:pt idx="6">
                <c:v>1.0803832292697476E-3</c:v>
              </c:pt>
              <c:pt idx="7">
                <c:v>1.1758341487524879E-3</c:v>
              </c:pt>
              <c:pt idx="8">
                <c:v>1.2789291508880532E-3</c:v>
              </c:pt>
              <c:pt idx="9">
                <c:v>1.3902163982942313E-3</c:v>
              </c:pt>
              <c:pt idx="10">
                <c:v>1.5102788198675821E-3</c:v>
              </c:pt>
              <c:pt idx="11">
                <c:v>1.6240153047000082E-3</c:v>
              </c:pt>
              <c:pt idx="12">
                <c:v>1.7451377446048627E-3</c:v>
              </c:pt>
              <c:pt idx="13">
                <c:v>1.8742233352138143E-3</c:v>
              </c:pt>
              <c:pt idx="14">
                <c:v>2.0117229343793344E-3</c:v>
              </c:pt>
              <c:pt idx="15">
                <c:v>2.1581087540872529E-3</c:v>
              </c:pt>
              <c:pt idx="16">
                <c:v>2.3139214615192092E-3</c:v>
              </c:pt>
              <c:pt idx="17">
                <c:v>2.4796388829385293E-3</c:v>
              </c:pt>
              <c:pt idx="18">
                <c:v>2.6558030330016539E-3</c:v>
              </c:pt>
              <c:pt idx="19">
                <c:v>2.8429808348341017E-3</c:v>
              </c:pt>
              <c:pt idx="20">
                <c:v>3.0417650818216663E-3</c:v>
              </c:pt>
              <c:pt idx="21">
                <c:v>3.2528405778045949E-3</c:v>
              </c:pt>
              <c:pt idx="22">
                <c:v>3.4767987665084011E-3</c:v>
              </c:pt>
              <c:pt idx="23">
                <c:v>3.7143170301272206E-3</c:v>
              </c:pt>
              <c:pt idx="24">
                <c:v>3.9661029174285749E-3</c:v>
              </c:pt>
              <c:pt idx="25">
                <c:v>4.2328953161507891E-3</c:v>
              </c:pt>
              <c:pt idx="26">
                <c:v>4.5154656750827386E-3</c:v>
              </c:pt>
              <c:pt idx="27">
                <c:v>4.8146192790791617E-3</c:v>
              </c:pt>
              <c:pt idx="28">
                <c:v>5.1311965805394127E-3</c:v>
              </c:pt>
              <c:pt idx="29">
                <c:v>5.289598667499288E-3</c:v>
              </c:pt>
            </c:numLit>
          </c:yVal>
          <c:smooth val="1"/>
          <c:extLst>
            <c:ext xmlns:c16="http://schemas.microsoft.com/office/drawing/2014/chart" uri="{C3380CC4-5D6E-409C-BE32-E72D297353CC}">
              <c16:uniqueId val="{00000017-FDD4-42E4-87E6-BD3964183DBC}"/>
            </c:ext>
          </c:extLst>
        </c:ser>
        <c:ser>
          <c:idx val="17"/>
          <c:order val="17"/>
          <c:tx>
            <c:v>RH=40_Label1</c:v>
          </c:tx>
          <c:spPr>
            <a:ln w="3175">
              <a:solidFill>
                <a:srgbClr val="0000FF"/>
              </a:solidFill>
              <a:prstDash val="solid"/>
            </a:ln>
          </c:spPr>
          <c:marker>
            <c:symbol val="none"/>
          </c:marker>
          <c:dLbls>
            <c:dLbl>
              <c:idx val="0"/>
              <c:tx>
                <c:rich>
                  <a:bodyPr rot="-15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18.696609618261668</c:v>
              </c:pt>
            </c:numLit>
          </c:xVal>
          <c:yVal>
            <c:numLit>
              <c:formatCode>General</c:formatCode>
              <c:ptCount val="1"/>
              <c:pt idx="0">
                <c:v>5.4695188532680209E-3</c:v>
              </c:pt>
            </c:numLit>
          </c:yVal>
          <c:smooth val="0"/>
          <c:extLst>
            <c:ext xmlns:c16="http://schemas.microsoft.com/office/drawing/2014/chart" uri="{C3380CC4-5D6E-409C-BE32-E72D297353CC}">
              <c16:uniqueId val="{00000019-FDD4-42E4-87E6-BD3964183DBC}"/>
            </c:ext>
          </c:extLst>
        </c:ser>
        <c:ser>
          <c:idx val="18"/>
          <c:order val="18"/>
          <c:tx>
            <c:v>RH=40_2</c:v>
          </c:tx>
          <c:spPr>
            <a:ln w="3175">
              <a:solidFill>
                <a:srgbClr val="0000FF"/>
              </a:solidFill>
              <a:prstDash val="solid"/>
            </a:ln>
          </c:spPr>
          <c:marker>
            <c:symbol val="none"/>
          </c:marker>
          <c:xVal>
            <c:numLit>
              <c:formatCode>General</c:formatCode>
              <c:ptCount val="17"/>
              <c:pt idx="0">
                <c:v>19.211627821712195</c:v>
              </c:pt>
              <c:pt idx="1">
                <c:v>20.202207062511963</c:v>
              </c:pt>
              <c:pt idx="2">
                <c:v>21.193045521947305</c:v>
              </c:pt>
              <c:pt idx="3">
                <c:v>22.184206264025072</c:v>
              </c:pt>
              <c:pt idx="4">
                <c:v>23.175757742162592</c:v>
              </c:pt>
              <c:pt idx="5">
                <c:v>24.167774118297825</c:v>
              </c:pt>
              <c:pt idx="6">
                <c:v>25.1603316445307</c:v>
              </c:pt>
              <c:pt idx="7">
                <c:v>26.153517149618409</c:v>
              </c:pt>
              <c:pt idx="8">
                <c:v>27.14742747249446</c:v>
              </c:pt>
              <c:pt idx="9">
                <c:v>28.142163180108163</c:v>
              </c:pt>
              <c:pt idx="10">
                <c:v>29.137832409025819</c:v>
              </c:pt>
              <c:pt idx="11">
                <c:v>30.134551295721444</c:v>
              </c:pt>
              <c:pt idx="12">
                <c:v>31.132444429611024</c:v>
              </c:pt>
              <c:pt idx="13">
                <c:v>32.131645330365913</c:v>
              </c:pt>
              <c:pt idx="14">
                <c:v>33.132296951182454</c:v>
              </c:pt>
              <c:pt idx="15">
                <c:v>34.13455220983942</c:v>
              </c:pt>
              <c:pt idx="16">
                <c:v>34.726700730219605</c:v>
              </c:pt>
            </c:numLit>
          </c:xVal>
          <c:yVal>
            <c:numLit>
              <c:formatCode>General</c:formatCode>
              <c:ptCount val="17"/>
              <c:pt idx="0">
                <c:v>5.6512912640590517E-3</c:v>
              </c:pt>
              <c:pt idx="1">
                <c:v>6.0159538060022208E-3</c:v>
              </c:pt>
              <c:pt idx="2">
                <c:v>6.4013091486796996E-3</c:v>
              </c:pt>
              <c:pt idx="3">
                <c:v>6.8083754788367118E-3</c:v>
              </c:pt>
              <c:pt idx="4">
                <c:v>7.2382147244076525E-3</c:v>
              </c:pt>
              <c:pt idx="5">
                <c:v>7.6919343649579095E-3</c:v>
              </c:pt>
              <c:pt idx="6">
                <c:v>8.1707767158846062E-3</c:v>
              </c:pt>
              <c:pt idx="7">
                <c:v>8.6759520844244559E-3</c:v>
              </c:pt>
              <c:pt idx="8">
                <c:v>9.208645282612761E-3</c:v>
              </c:pt>
              <c:pt idx="9">
                <c:v>9.7701679465518245E-3</c:v>
              </c:pt>
              <c:pt idx="10">
                <c:v>1.0361888011305007E-2</c:v>
              </c:pt>
              <c:pt idx="11">
                <c:v>1.0985232215656456E-2</c:v>
              </c:pt>
              <c:pt idx="12">
                <c:v>1.1641688754542854E-2</c:v>
              </c:pt>
              <c:pt idx="13">
                <c:v>1.2332810090782168E-2</c:v>
              </c:pt>
              <c:pt idx="14">
                <c:v>1.3060215938736743E-2</c:v>
              </c:pt>
              <c:pt idx="15">
                <c:v>1.3825596433664258E-2</c:v>
              </c:pt>
              <c:pt idx="16">
                <c:v>1.4295694061418956E-2</c:v>
              </c:pt>
            </c:numLit>
          </c:yVal>
          <c:smooth val="1"/>
          <c:extLst>
            <c:ext xmlns:c16="http://schemas.microsoft.com/office/drawing/2014/chart" uri="{C3380CC4-5D6E-409C-BE32-E72D297353CC}">
              <c16:uniqueId val="{0000001A-FDD4-42E4-87E6-BD3964183DBC}"/>
            </c:ext>
          </c:extLst>
        </c:ser>
        <c:ser>
          <c:idx val="19"/>
          <c:order val="19"/>
          <c:tx>
            <c:v>RH=40_Label2</c:v>
          </c:tx>
          <c:spPr>
            <a:ln w="3175">
              <a:solidFill>
                <a:srgbClr val="0000FF"/>
              </a:solidFill>
              <a:prstDash val="solid"/>
            </a:ln>
          </c:spPr>
          <c:marker>
            <c:symbol val="none"/>
          </c:marker>
          <c:dLbls>
            <c:dLbl>
              <c:idx val="0"/>
              <c:tx>
                <c:rich>
                  <a:bodyPr rot="-28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40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35.028040308533853</c:v>
              </c:pt>
            </c:numLit>
          </c:xVal>
          <c:yVal>
            <c:numLit>
              <c:formatCode>General</c:formatCode>
              <c:ptCount val="1"/>
              <c:pt idx="0">
                <c:v>1.4540151098681935E-2</c:v>
              </c:pt>
            </c:numLit>
          </c:yVal>
          <c:smooth val="0"/>
          <c:extLst>
            <c:ext xmlns:c16="http://schemas.microsoft.com/office/drawing/2014/chart" uri="{C3380CC4-5D6E-409C-BE32-E72D297353CC}">
              <c16:uniqueId val="{0000001C-FDD4-42E4-87E6-BD3964183DBC}"/>
            </c:ext>
          </c:extLst>
        </c:ser>
        <c:ser>
          <c:idx val="20"/>
          <c:order val="20"/>
          <c:tx>
            <c:v>RH=40_3</c:v>
          </c:tx>
          <c:spPr>
            <a:ln w="3175">
              <a:solidFill>
                <a:srgbClr val="0000FF"/>
              </a:solidFill>
              <a:prstDash val="solid"/>
            </a:ln>
          </c:spPr>
          <c:marker>
            <c:symbol val="none"/>
          </c:marker>
          <c:xVal>
            <c:numLit>
              <c:formatCode>General</c:formatCode>
              <c:ptCount val="16"/>
              <c:pt idx="0">
                <c:v>35.329552776174317</c:v>
              </c:pt>
              <c:pt idx="1">
                <c:v>36.335906363098594</c:v>
              </c:pt>
              <c:pt idx="2">
                <c:v>37.344424679792851</c:v>
              </c:pt>
              <c:pt idx="3">
                <c:v>38.355308879053233</c:v>
              </c:pt>
              <c:pt idx="4">
                <c:v>39.368773366008369</c:v>
              </c:pt>
              <c:pt idx="5">
                <c:v>40.385044078419881</c:v>
              </c:pt>
              <c:pt idx="6">
                <c:v>41.404366085039008</c:v>
              </c:pt>
              <c:pt idx="7">
                <c:v>42.426999385462096</c:v>
              </c:pt>
              <c:pt idx="8">
                <c:v>43.453219557967351</c:v>
              </c:pt>
              <c:pt idx="9">
                <c:v>44.483319737831081</c:v>
              </c:pt>
              <c:pt idx="10">
                <c:v>45.517611653111167</c:v>
              </c:pt>
              <c:pt idx="11">
                <c:v>46.556426731421674</c:v>
              </c:pt>
              <c:pt idx="12">
                <c:v>47.600117283983685</c:v>
              </c:pt>
              <c:pt idx="13">
                <c:v>48.64905777389</c:v>
              </c:pt>
              <c:pt idx="14">
                <c:v>49.703646176251077</c:v>
              </c:pt>
              <c:pt idx="15">
                <c:v>50.000000000000007</c:v>
              </c:pt>
            </c:numLit>
          </c:xVal>
          <c:yVal>
            <c:numLit>
              <c:formatCode>General</c:formatCode>
              <c:ptCount val="16"/>
              <c:pt idx="0">
                <c:v>1.478833119366236E-2</c:v>
              </c:pt>
              <c:pt idx="1">
                <c:v>1.5643145109583971E-2</c:v>
              </c:pt>
              <c:pt idx="2">
                <c:v>1.6541836193495318E-2</c:v>
              </c:pt>
              <c:pt idx="3">
                <c:v>1.7486428909881571E-2</c:v>
              </c:pt>
              <c:pt idx="4">
                <c:v>1.8479038209467172E-2</c:v>
              </c:pt>
              <c:pt idx="5">
                <c:v>1.9522018510706687E-2</c:v>
              </c:pt>
              <c:pt idx="6">
                <c:v>2.0617611971505051E-2</c:v>
              </c:pt>
              <c:pt idx="7">
                <c:v>2.1768183432671905E-2</c:v>
              </c:pt>
              <c:pt idx="8">
                <c:v>2.2976262300941908E-2</c:v>
              </c:pt>
              <c:pt idx="9">
                <c:v>2.424449573781436E-2</c:v>
              </c:pt>
              <c:pt idx="10">
                <c:v>2.5575655332400155E-2</c:v>
              </c:pt>
              <c:pt idx="11">
                <c:v>2.6972644274486847E-2</c:v>
              </c:pt>
              <c:pt idx="12">
                <c:v>2.8438505072725828E-2</c:v>
              </c:pt>
              <c:pt idx="13">
                <c:v>2.9976427867378353E-2</c:v>
              </c:pt>
              <c:pt idx="14">
                <c:v>3.1589759392127853E-2</c:v>
              </c:pt>
              <c:pt idx="15">
                <c:v>3.2055479665609135E-2</c:v>
              </c:pt>
            </c:numLit>
          </c:yVal>
          <c:smooth val="1"/>
          <c:extLst>
            <c:ext xmlns:c16="http://schemas.microsoft.com/office/drawing/2014/chart" uri="{C3380CC4-5D6E-409C-BE32-E72D297353CC}">
              <c16:uniqueId val="{0000001D-FDD4-42E4-87E6-BD3964183DBC}"/>
            </c:ext>
          </c:extLst>
        </c:ser>
        <c:ser>
          <c:idx val="21"/>
          <c:order val="21"/>
          <c:tx>
            <c:v>RH=50_1</c:v>
          </c:tx>
          <c:spPr>
            <a:ln w="3175">
              <a:solidFill>
                <a:srgbClr val="FF6600"/>
              </a:solidFill>
              <a:prstDash val="solid"/>
            </a:ln>
          </c:spPr>
          <c:marker>
            <c:symbol val="none"/>
          </c:marker>
          <c:xVal>
            <c:numLit>
              <c:formatCode>General</c:formatCode>
              <c:ptCount val="28"/>
              <c:pt idx="0">
                <c:v>-10.08897002151055</c:v>
              </c:pt>
              <c:pt idx="1">
                <c:v>-9.0955874726249295</c:v>
              </c:pt>
              <c:pt idx="2">
                <c:v>-8.1025997054790633</c:v>
              </c:pt>
              <c:pt idx="3">
                <c:v>-7.1100216869101676</c:v>
              </c:pt>
              <c:pt idx="4">
                <c:v>-6.1178681526317034</c:v>
              </c:pt>
              <c:pt idx="5">
                <c:v>-5.1261535037671155</c:v>
              </c:pt>
              <c:pt idx="6">
                <c:v>-4.1348916926731265</c:v>
              </c:pt>
              <c:pt idx="7">
                <c:v>-3.1440960973251273</c:v>
              </c:pt>
              <c:pt idx="8">
                <c:v>-2.1537793834979757</c:v>
              </c:pt>
              <c:pt idx="9">
                <c:v>-1.1639533539336429</c:v>
              </c:pt>
              <c:pt idx="10">
                <c:v>-0.17462878364218917</c:v>
              </c:pt>
              <c:pt idx="11">
                <c:v>0.81596740205832308</c:v>
              </c:pt>
              <c:pt idx="12">
                <c:v>1.806268310463421</c:v>
              </c:pt>
              <c:pt idx="13">
                <c:v>2.7962622689140946</c:v>
              </c:pt>
              <c:pt idx="14">
                <c:v>3.785956380554413</c:v>
              </c:pt>
              <c:pt idx="15">
                <c:v>4.7753596834764709</c:v>
              </c:pt>
              <c:pt idx="16">
                <c:v>5.7644785989372425</c:v>
              </c:pt>
              <c:pt idx="17">
                <c:v>6.753330794661875</c:v>
              </c:pt>
              <c:pt idx="18">
                <c:v>7.7419321061698998</c:v>
              </c:pt>
              <c:pt idx="19">
                <c:v>8.7303010079445151</c:v>
              </c:pt>
              <c:pt idx="20">
                <c:v>9.7184588131024761</c:v>
              </c:pt>
              <c:pt idx="21">
                <c:v>10.706423996530482</c:v>
              </c:pt>
              <c:pt idx="22">
                <c:v>11.694229582027464</c:v>
              </c:pt>
              <c:pt idx="23">
                <c:v>12.681906693511435</c:v>
              </c:pt>
              <c:pt idx="24">
                <c:v>13.669490203078148</c:v>
              </c:pt>
              <c:pt idx="25">
                <c:v>14.657018987720264</c:v>
              </c:pt>
              <c:pt idx="26">
                <c:v>15.644536199075654</c:v>
              </c:pt>
              <c:pt idx="27">
                <c:v>16.444449259100793</c:v>
              </c:pt>
            </c:numLit>
          </c:xVal>
          <c:yVal>
            <c:numLit>
              <c:formatCode>General</c:formatCode>
              <c:ptCount val="28"/>
              <c:pt idx="0">
                <c:v>8.0200574945888238E-4</c:v>
              </c:pt>
              <c:pt idx="1">
                <c:v>8.7626205085363938E-4</c:v>
              </c:pt>
              <c:pt idx="2">
                <c:v>9.5676032361825683E-4</c:v>
              </c:pt>
              <c:pt idx="3">
                <c:v>1.0439711095229951E-3</c:v>
              </c:pt>
              <c:pt idx="4">
                <c:v>1.1383963282209435E-3</c:v>
              </c:pt>
              <c:pt idx="5">
                <c:v>1.2405711123139587E-3</c:v>
              </c:pt>
              <c:pt idx="6">
                <c:v>1.3510657390398758E-3</c:v>
              </c:pt>
              <c:pt idx="7">
                <c:v>1.4704876639184206E-3</c:v>
              </c:pt>
              <c:pt idx="8">
                <c:v>1.5994836621067371E-3</c:v>
              </c:pt>
              <c:pt idx="9">
                <c:v>1.7387420836732516E-3</c:v>
              </c:pt>
              <c:pt idx="10">
                <c:v>1.8889952295058313E-3</c:v>
              </c:pt>
              <c:pt idx="11">
                <c:v>2.0313451122375144E-3</c:v>
              </c:pt>
              <c:pt idx="12">
                <c:v>2.1829534013642305E-3</c:v>
              </c:pt>
              <c:pt idx="13">
                <c:v>2.3445453840359293E-3</c:v>
              </c:pt>
              <c:pt idx="14">
                <c:v>2.5166886531353488E-3</c:v>
              </c:pt>
              <c:pt idx="15">
                <c:v>2.6999779978813701E-3</c:v>
              </c:pt>
              <c:pt idx="16">
                <c:v>2.8950944461037949E-3</c:v>
              </c:pt>
              <c:pt idx="17">
                <c:v>3.1026409173562676E-3</c:v>
              </c:pt>
              <c:pt idx="18">
                <c:v>3.3233013465576106E-3</c:v>
              </c:pt>
              <c:pt idx="19">
                <c:v>3.5577915815344584E-3</c:v>
              </c:pt>
              <c:pt idx="20">
                <c:v>3.8068606722971615E-3</c:v>
              </c:pt>
              <c:pt idx="21">
                <c:v>4.0713738556704586E-3</c:v>
              </c:pt>
              <c:pt idx="22">
                <c:v>4.3520803689922234E-3</c:v>
              </c:pt>
              <c:pt idx="23">
                <c:v>4.6498382203937379E-3</c:v>
              </c:pt>
              <c:pt idx="24">
                <c:v>4.9655444400146668E-3</c:v>
              </c:pt>
              <c:pt idx="25">
                <c:v>5.300136687456442E-3</c:v>
              </c:pt>
              <c:pt idx="26">
                <c:v>5.654594935640289E-3</c:v>
              </c:pt>
              <c:pt idx="27">
                <c:v>5.9569705434108725E-3</c:v>
              </c:pt>
            </c:numLit>
          </c:yVal>
          <c:smooth val="1"/>
          <c:extLst>
            <c:ext xmlns:c16="http://schemas.microsoft.com/office/drawing/2014/chart" uri="{C3380CC4-5D6E-409C-BE32-E72D297353CC}">
              <c16:uniqueId val="{0000001E-FDD4-42E4-87E6-BD3964183DBC}"/>
            </c:ext>
          </c:extLst>
        </c:ser>
        <c:ser>
          <c:idx val="22"/>
          <c:order val="22"/>
          <c:tx>
            <c:v>RH=50_Label1</c:v>
          </c:tx>
          <c:spPr>
            <a:ln w="3175">
              <a:solidFill>
                <a:srgbClr val="FF6600"/>
              </a:solidFill>
              <a:prstDash val="solid"/>
            </a:ln>
          </c:spPr>
          <c:marker>
            <c:symbol val="none"/>
          </c:marker>
          <c:dLbls>
            <c:dLbl>
              <c:idx val="0"/>
              <c:tx>
                <c:rich>
                  <a:bodyPr rot="-16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16.938246504261446</c:v>
              </c:pt>
            </c:numLit>
          </c:xVal>
          <c:yVal>
            <c:numLit>
              <c:formatCode>General</c:formatCode>
              <c:ptCount val="1"/>
              <c:pt idx="0">
                <c:v>6.1507089523445638E-3</c:v>
              </c:pt>
            </c:numLit>
          </c:yVal>
          <c:smooth val="0"/>
          <c:extLst>
            <c:ext xmlns:c16="http://schemas.microsoft.com/office/drawing/2014/chart" uri="{C3380CC4-5D6E-409C-BE32-E72D297353CC}">
              <c16:uniqueId val="{00000020-FDD4-42E4-87E6-BD3964183DBC}"/>
            </c:ext>
          </c:extLst>
        </c:ser>
        <c:ser>
          <c:idx val="23"/>
          <c:order val="23"/>
          <c:tx>
            <c:v>RH=50_2</c:v>
          </c:tx>
          <c:spPr>
            <a:ln w="3175">
              <a:solidFill>
                <a:srgbClr val="FF6600"/>
              </a:solidFill>
              <a:prstDash val="solid"/>
            </a:ln>
          </c:spPr>
          <c:marker>
            <c:symbol val="none"/>
          </c:marker>
          <c:xVal>
            <c:numLit>
              <c:formatCode>General</c:formatCode>
              <c:ptCount val="16"/>
              <c:pt idx="0">
                <c:v>17.422193396353077</c:v>
              </c:pt>
              <c:pt idx="1">
                <c:v>18.409947717682584</c:v>
              </c:pt>
              <c:pt idx="2">
                <c:v>19.397898605362961</c:v>
              </c:pt>
              <c:pt idx="3">
                <c:v>20.386113938329231</c:v>
              </c:pt>
              <c:pt idx="4">
                <c:v>21.374667728823542</c:v>
              </c:pt>
              <c:pt idx="5">
                <c:v>22.363640501219667</c:v>
              </c:pt>
              <c:pt idx="6">
                <c:v>23.353119690709409</c:v>
              </c:pt>
              <c:pt idx="7">
                <c:v>24.343200063094248</c:v>
              </c:pt>
              <c:pt idx="8">
                <c:v>25.333976607753801</c:v>
              </c:pt>
              <c:pt idx="9">
                <c:v>26.32556544086038</c:v>
              </c:pt>
              <c:pt idx="10">
                <c:v>27.318087972919766</c:v>
              </c:pt>
              <c:pt idx="11">
                <c:v>28.311673026562932</c:v>
              </c:pt>
              <c:pt idx="12">
                <c:v>29.306459234239682</c:v>
              </c:pt>
              <c:pt idx="13">
                <c:v>30.302595619159391</c:v>
              </c:pt>
              <c:pt idx="14">
                <c:v>31.300242210065303</c:v>
              </c:pt>
              <c:pt idx="15">
                <c:v>31.909621057494508</c:v>
              </c:pt>
            </c:numLit>
          </c:xVal>
          <c:yVal>
            <c:numLit>
              <c:formatCode>General</c:formatCode>
              <c:ptCount val="16"/>
              <c:pt idx="0">
                <c:v>6.3459801520872189E-3</c:v>
              </c:pt>
              <c:pt idx="1">
                <c:v>6.7616590159105252E-3</c:v>
              </c:pt>
              <c:pt idx="2">
                <c:v>7.201345919761834E-3</c:v>
              </c:pt>
              <c:pt idx="3">
                <c:v>7.6662501480482086E-3</c:v>
              </c:pt>
              <c:pt idx="4">
                <c:v>8.1576348814824777E-3</c:v>
              </c:pt>
              <c:pt idx="5">
                <c:v>8.676819571731012E-3</c:v>
              </c:pt>
              <c:pt idx="6">
                <c:v>9.2251824498550249E-3</c:v>
              </c:pt>
              <c:pt idx="7">
                <c:v>9.8041631790234604E-3</c:v>
              </c:pt>
              <c:pt idx="8">
                <c:v>1.0415434386378618E-2</c:v>
              </c:pt>
              <c:pt idx="9">
                <c:v>1.1060464555396202E-2</c:v>
              </c:pt>
              <c:pt idx="10">
                <c:v>1.1740857774937448E-2</c:v>
              </c:pt>
              <c:pt idx="11">
                <c:v>1.2458331691968276E-2</c:v>
              </c:pt>
              <c:pt idx="12">
                <c:v>1.3214681421134968E-2</c:v>
              </c:pt>
              <c:pt idx="13">
                <c:v>1.4011783353652977E-2</c:v>
              </c:pt>
              <c:pt idx="14">
                <c:v>1.4851599216421624E-2</c:v>
              </c:pt>
              <c:pt idx="15">
                <c:v>1.5385734079129848E-2</c:v>
              </c:pt>
            </c:numLit>
          </c:yVal>
          <c:smooth val="1"/>
          <c:extLst>
            <c:ext xmlns:c16="http://schemas.microsoft.com/office/drawing/2014/chart" uri="{C3380CC4-5D6E-409C-BE32-E72D297353CC}">
              <c16:uniqueId val="{00000021-FDD4-42E4-87E6-BD3964183DBC}"/>
            </c:ext>
          </c:extLst>
        </c:ser>
        <c:ser>
          <c:idx val="24"/>
          <c:order val="24"/>
          <c:tx>
            <c:v>RH=50_Label2</c:v>
          </c:tx>
          <c:spPr>
            <a:ln w="3175">
              <a:solidFill>
                <a:srgbClr val="FF6600"/>
              </a:solidFill>
              <a:prstDash val="solid"/>
            </a:ln>
          </c:spPr>
          <c:marker>
            <c:symbol val="none"/>
          </c:marker>
          <c:dLbls>
            <c:dLbl>
              <c:idx val="0"/>
              <c:tx>
                <c:rich>
                  <a:bodyPr rot="-30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50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32.209557548226279</c:v>
              </c:pt>
            </c:numLit>
          </c:xVal>
          <c:yVal>
            <c:numLit>
              <c:formatCode>General</c:formatCode>
              <c:ptCount val="1"/>
              <c:pt idx="0">
                <c:v>1.565467970435885E-2</c:v>
              </c:pt>
            </c:numLit>
          </c:yVal>
          <c:smooth val="0"/>
          <c:extLst>
            <c:ext xmlns:c16="http://schemas.microsoft.com/office/drawing/2014/chart" uri="{C3380CC4-5D6E-409C-BE32-E72D297353CC}">
              <c16:uniqueId val="{00000023-FDD4-42E4-87E6-BD3964183DBC}"/>
            </c:ext>
          </c:extLst>
        </c:ser>
        <c:ser>
          <c:idx val="25"/>
          <c:order val="25"/>
          <c:tx>
            <c:v>RH=50_3</c:v>
          </c:tx>
          <c:spPr>
            <a:ln w="3175">
              <a:solidFill>
                <a:srgbClr val="FF6600"/>
              </a:solidFill>
              <a:prstDash val="solid"/>
            </a:ln>
          </c:spPr>
          <c:marker>
            <c:symbol val="none"/>
          </c:marker>
          <c:xVal>
            <c:numLit>
              <c:formatCode>General</c:formatCode>
              <c:ptCount val="16"/>
              <c:pt idx="0">
                <c:v>32.50966034549127</c:v>
              </c:pt>
              <c:pt idx="1">
                <c:v>33.511271187330614</c:v>
              </c:pt>
              <c:pt idx="2">
                <c:v>34.514988192934567</c:v>
              </c:pt>
              <c:pt idx="3">
                <c:v>35.521025346691431</c:v>
              </c:pt>
              <c:pt idx="4">
                <c:v>36.529611499761643</c:v>
              </c:pt>
              <c:pt idx="5">
                <c:v>37.540991263473543</c:v>
              </c:pt>
              <c:pt idx="6">
                <c:v>38.555425961918715</c:v>
              </c:pt>
              <c:pt idx="7">
                <c:v>39.573194603758857</c:v>
              </c:pt>
              <c:pt idx="8">
                <c:v>40.594590851639929</c:v>
              </c:pt>
              <c:pt idx="9">
                <c:v>41.619937316690823</c:v>
              </c:pt>
              <c:pt idx="10">
                <c:v>42.649573211420787</c:v>
              </c:pt>
              <c:pt idx="11">
                <c:v>43.683860328611424</c:v>
              </c:pt>
              <c:pt idx="12">
                <c:v>44.723184479726754</c:v>
              </c:pt>
              <c:pt idx="13">
                <c:v>45.767957042375727</c:v>
              </c:pt>
              <c:pt idx="14">
                <c:v>46.818616627355617</c:v>
              </c:pt>
              <c:pt idx="15">
                <c:v>46.460703436093496</c:v>
              </c:pt>
            </c:numLit>
          </c:xVal>
          <c:yVal>
            <c:numLit>
              <c:formatCode>General</c:formatCode>
              <c:ptCount val="16"/>
              <c:pt idx="0">
                <c:v>1.5927828907446664E-2</c:v>
              </c:pt>
              <c:pt idx="1">
                <c:v>1.6869454213500404E-2</c:v>
              </c:pt>
              <c:pt idx="2">
                <c:v>1.7860719974887418E-2</c:v>
              </c:pt>
              <c:pt idx="3">
                <c:v>1.8903998294804217E-2</c:v>
              </c:pt>
              <c:pt idx="4">
                <c:v>2.000177271349279E-2</c:v>
              </c:pt>
              <c:pt idx="5">
                <c:v>2.1156644378631805E-2</c:v>
              </c:pt>
              <c:pt idx="6">
                <c:v>2.2371338671019026E-2</c:v>
              </c:pt>
              <c:pt idx="7">
                <c:v>2.3648714769532078E-2</c:v>
              </c:pt>
              <c:pt idx="8">
                <c:v>2.4992022393473451E-2</c:v>
              </c:pt>
              <c:pt idx="9">
                <c:v>2.6404178570594451E-2</c:v>
              </c:pt>
              <c:pt idx="10">
                <c:v>2.7888485033202765E-2</c:v>
              </c:pt>
              <c:pt idx="11">
                <c:v>2.9448409483270498E-2</c:v>
              </c:pt>
              <c:pt idx="12">
                <c:v>3.1087595987123743E-2</c:v>
              </c:pt>
              <c:pt idx="13">
                <c:v>3.2809876218774625E-2</c:v>
              </c:pt>
              <c:pt idx="14">
                <c:v>3.4619281634166249E-2</c:v>
              </c:pt>
              <c:pt idx="15">
                <c:v>3.4000000000000002E-2</c:v>
              </c:pt>
            </c:numLit>
          </c:yVal>
          <c:smooth val="1"/>
          <c:extLst>
            <c:ext xmlns:c16="http://schemas.microsoft.com/office/drawing/2014/chart" uri="{C3380CC4-5D6E-409C-BE32-E72D297353CC}">
              <c16:uniqueId val="{00000024-FDD4-42E4-87E6-BD3964183DBC}"/>
            </c:ext>
          </c:extLst>
        </c:ser>
        <c:ser>
          <c:idx val="26"/>
          <c:order val="26"/>
          <c:tx>
            <c:v>RH=60_1</c:v>
          </c:tx>
          <c:spPr>
            <a:ln w="3175">
              <a:solidFill>
                <a:srgbClr val="0000FF"/>
              </a:solidFill>
              <a:prstDash val="solid"/>
            </a:ln>
          </c:spPr>
          <c:marker>
            <c:symbol val="none"/>
          </c:marker>
          <c:xVal>
            <c:numLit>
              <c:formatCode>General</c:formatCode>
              <c:ptCount val="27"/>
              <c:pt idx="0">
                <c:v>-10.106791566071182</c:v>
              </c:pt>
              <c:pt idx="1">
                <c:v>-9.114737296143911</c:v>
              </c:pt>
              <c:pt idx="2">
                <c:v>-8.1231575359745278</c:v>
              </c:pt>
              <c:pt idx="3">
                <c:v>-7.1320703593639401</c:v>
              </c:pt>
              <c:pt idx="4">
                <c:v>-6.1414935776753259</c:v>
              </c:pt>
              <c:pt idx="5">
                <c:v>-5.1514446173368293</c:v>
              </c:pt>
              <c:pt idx="6">
                <c:v>-4.1619403846292249</c:v>
              </c:pt>
              <c:pt idx="7">
                <c:v>-3.1729971168886375</c:v>
              </c:pt>
              <c:pt idx="8">
                <c:v>-2.1846302192056264</c:v>
              </c:pt>
              <c:pt idx="9">
                <c:v>-1.1968540856493599</c:v>
              </c:pt>
              <c:pt idx="10">
                <c:v>-0.20968190398886188</c:v>
              </c:pt>
              <c:pt idx="11">
                <c:v>0.77901653902700452</c:v>
              </c:pt>
              <c:pt idx="12">
                <c:v>1.7673586730365087</c:v>
              </c:pt>
              <c:pt idx="13">
                <c:v>2.7553302668322517</c:v>
              </c:pt>
              <c:pt idx="14">
                <c:v>3.742939630389412</c:v>
              </c:pt>
              <c:pt idx="15">
                <c:v>4.7301973807635171</c:v>
              </c:pt>
              <c:pt idx="16">
                <c:v>5.7171109692723858</c:v>
              </c:pt>
              <c:pt idx="17">
                <c:v>6.7037013465567465</c:v>
              </c:pt>
              <c:pt idx="18">
                <c:v>7.6899872415691117</c:v>
              </c:pt>
              <c:pt idx="19">
                <c:v>8.6759905358320282</c:v>
              </c:pt>
              <c:pt idx="20">
                <c:v>9.6617365038877931</c:v>
              </c:pt>
              <c:pt idx="21">
                <c:v>10.647246983750058</c:v>
              </c:pt>
              <c:pt idx="22">
                <c:v>11.632561294510978</c:v>
              </c:pt>
              <c:pt idx="23">
                <c:v>12.617716452210654</c:v>
              </c:pt>
              <c:pt idx="24">
                <c:v>13.60275396515117</c:v>
              </c:pt>
              <c:pt idx="25">
                <c:v>14.587720145442251</c:v>
              </c:pt>
              <c:pt idx="26">
                <c:v>14.971848553064145</c:v>
              </c:pt>
            </c:numLit>
          </c:xVal>
          <c:yVal>
            <c:numLit>
              <c:formatCode>General</c:formatCode>
              <c:ptCount val="27"/>
              <c:pt idx="0">
                <c:v>9.6265515651978821E-4</c:v>
              </c:pt>
              <c:pt idx="1">
                <c:v>1.0518108248658113E-3</c:v>
              </c:pt>
              <c:pt idx="2">
                <c:v>1.1484657136667973E-3</c:v>
              </c:pt>
              <c:pt idx="3">
                <c:v>1.253186016979086E-3</c:v>
              </c:pt>
              <c:pt idx="4">
                <c:v>1.3665758366107619E-3</c:v>
              </c:pt>
              <c:pt idx="5">
                <c:v>1.4892794236642264E-3</c:v>
              </c:pt>
              <c:pt idx="6">
                <c:v>1.6219835417861427E-3</c:v>
              </c:pt>
              <c:pt idx="7">
                <c:v>1.7654199593220663E-3</c:v>
              </c:pt>
              <c:pt idx="8">
                <c:v>1.9203680781726613E-3</c:v>
              </c:pt>
              <c:pt idx="9">
                <c:v>2.087657707814211E-3</c:v>
              </c:pt>
              <c:pt idx="10">
                <c:v>2.2681719936859684E-3</c:v>
              </c:pt>
              <c:pt idx="11">
                <c:v>2.4392073923505966E-3</c:v>
              </c:pt>
              <c:pt idx="12">
                <c:v>2.6213841277472243E-3</c:v>
              </c:pt>
              <c:pt idx="13">
                <c:v>2.815577116984156E-3</c:v>
              </c:pt>
              <c:pt idx="14">
                <c:v>3.0224723215083122E-3</c:v>
              </c:pt>
              <c:pt idx="15">
                <c:v>3.2427889480513973E-3</c:v>
              </c:pt>
              <c:pt idx="16">
                <c:v>3.4773504999020071E-3</c:v>
              </c:pt>
              <c:pt idx="17">
                <c:v>3.7268872888711327E-3</c:v>
              </c:pt>
              <c:pt idx="18">
                <c:v>3.9922277903414322E-3</c:v>
              </c:pt>
              <c:pt idx="19">
                <c:v>4.2742397187644924E-3</c:v>
              </c:pt>
              <c:pt idx="20">
                <c:v>4.5738316813021601E-3</c:v>
              </c:pt>
              <c:pt idx="21">
                <c:v>4.8920531340976188E-3</c:v>
              </c:pt>
              <c:pt idx="22">
                <c:v>5.2298151913123467E-3</c:v>
              </c:pt>
              <c:pt idx="23">
                <c:v>5.5881611315908462E-3</c:v>
              </c:pt>
              <c:pt idx="24">
                <c:v>5.968182662155372E-3</c:v>
              </c:pt>
              <c:pt idx="25">
                <c:v>6.3710220228125171E-3</c:v>
              </c:pt>
              <c:pt idx="26">
                <c:v>6.5345703991554396E-3</c:v>
              </c:pt>
            </c:numLit>
          </c:yVal>
          <c:smooth val="1"/>
          <c:extLst>
            <c:ext xmlns:c16="http://schemas.microsoft.com/office/drawing/2014/chart" uri="{C3380CC4-5D6E-409C-BE32-E72D297353CC}">
              <c16:uniqueId val="{00000025-FDD4-42E4-87E6-BD3964183DBC}"/>
            </c:ext>
          </c:extLst>
        </c:ser>
        <c:ser>
          <c:idx val="27"/>
          <c:order val="27"/>
          <c:tx>
            <c:v>RH=60_Label1</c:v>
          </c:tx>
          <c:spPr>
            <a:ln w="3175">
              <a:solidFill>
                <a:srgbClr val="0000FF"/>
              </a:solidFill>
              <a:prstDash val="solid"/>
            </a:ln>
          </c:spPr>
          <c:marker>
            <c:symbol val="none"/>
          </c:marker>
          <c:dLbls>
            <c:dLbl>
              <c:idx val="0"/>
              <c:tx>
                <c:rich>
                  <a:bodyPr rot="-18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15.434773089390811</c:v>
              </c:pt>
            </c:numLit>
          </c:xVal>
          <c:yVal>
            <c:numLit>
              <c:formatCode>General</c:formatCode>
              <c:ptCount val="1"/>
              <c:pt idx="0">
                <c:v>6.736623266512377E-3</c:v>
              </c:pt>
            </c:numLit>
          </c:yVal>
          <c:smooth val="0"/>
          <c:extLst>
            <c:ext xmlns:c16="http://schemas.microsoft.com/office/drawing/2014/chart" uri="{C3380CC4-5D6E-409C-BE32-E72D297353CC}">
              <c16:uniqueId val="{00000027-FDD4-42E4-87E6-BD3964183DBC}"/>
            </c:ext>
          </c:extLst>
        </c:ser>
        <c:ser>
          <c:idx val="28"/>
          <c:order val="28"/>
          <c:tx>
            <c:v>RH=60_2</c:v>
          </c:tx>
          <c:spPr>
            <a:ln w="3175">
              <a:solidFill>
                <a:srgbClr val="0000FF"/>
              </a:solidFill>
              <a:prstDash val="solid"/>
            </a:ln>
          </c:spPr>
          <c:marker>
            <c:symbol val="none"/>
          </c:marker>
          <c:xVal>
            <c:numLit>
              <c:formatCode>General</c:formatCode>
              <c:ptCount val="15"/>
              <c:pt idx="0">
                <c:v>15.897703887038311</c:v>
              </c:pt>
              <c:pt idx="1">
                <c:v>16.882712907666683</c:v>
              </c:pt>
              <c:pt idx="2">
                <c:v>17.867843780457338</c:v>
              </c:pt>
              <c:pt idx="3">
                <c:v>18.853167632773957</c:v>
              </c:pt>
              <c:pt idx="4">
                <c:v>19.838762357666667</c:v>
              </c:pt>
              <c:pt idx="5">
                <c:v>20.824713047015294</c:v>
              </c:pt>
              <c:pt idx="6">
                <c:v>21.811112448447897</c:v>
              </c:pt>
              <c:pt idx="7">
                <c:v>22.798061447611477</c:v>
              </c:pt>
              <c:pt idx="8">
                <c:v>23.785669577521677</c:v>
              </c:pt>
              <c:pt idx="9">
                <c:v>24.774051831419158</c:v>
              </c:pt>
              <c:pt idx="10">
                <c:v>25.763332537489855</c:v>
              </c:pt>
              <c:pt idx="11">
                <c:v>26.753657982880188</c:v>
              </c:pt>
              <c:pt idx="12">
                <c:v>27.745178065536479</c:v>
              </c:pt>
              <c:pt idx="13">
                <c:v>28.738054370171888</c:v>
              </c:pt>
              <c:pt idx="14">
                <c:v>29.583195155694028</c:v>
              </c:pt>
            </c:numLit>
          </c:xVal>
          <c:yVal>
            <c:numLit>
              <c:formatCode>General</c:formatCode>
              <c:ptCount val="15"/>
              <c:pt idx="0">
                <c:v>6.9442164723304209E-3</c:v>
              </c:pt>
              <c:pt idx="1">
                <c:v>7.4049523400725346E-3</c:v>
              </c:pt>
              <c:pt idx="2">
                <c:v>7.8927032614548986E-3</c:v>
              </c:pt>
              <c:pt idx="3">
                <c:v>8.4088574073189169E-3</c:v>
              </c:pt>
              <c:pt idx="4">
                <c:v>8.9548667635628559E-3</c:v>
              </c:pt>
              <c:pt idx="5">
                <c:v>9.5322500891234421E-3</c:v>
              </c:pt>
              <c:pt idx="6">
                <c:v>1.0142596050639335E-2</c:v>
              </c:pt>
              <c:pt idx="7">
                <c:v>1.0787566548190554E-2</c:v>
              </c:pt>
              <c:pt idx="8">
                <c:v>1.1468900247835185E-2</c:v>
              </c:pt>
              <c:pt idx="9">
                <c:v>1.2188498014486378E-2</c:v>
              </c:pt>
              <c:pt idx="10">
                <c:v>1.2948368636975393E-2</c:v>
              </c:pt>
              <c:pt idx="11">
                <c:v>1.3750351447902053E-2</c:v>
              </c:pt>
              <c:pt idx="12">
                <c:v>1.4596535174992941E-2</c:v>
              </c:pt>
              <c:pt idx="13">
                <c:v>1.5489106949635579E-2</c:v>
              </c:pt>
              <c:pt idx="14">
                <c:v>1.6285973584079443E-2</c:v>
              </c:pt>
            </c:numLit>
          </c:yVal>
          <c:smooth val="1"/>
          <c:extLst>
            <c:ext xmlns:c16="http://schemas.microsoft.com/office/drawing/2014/chart" uri="{C3380CC4-5D6E-409C-BE32-E72D297353CC}">
              <c16:uniqueId val="{00000028-FDD4-42E4-87E6-BD3964183DBC}"/>
            </c:ext>
          </c:extLst>
        </c:ser>
        <c:ser>
          <c:idx val="29"/>
          <c:order val="29"/>
          <c:tx>
            <c:v>RH=60_Label2</c:v>
          </c:tx>
          <c:spPr>
            <a:ln w="3175">
              <a:solidFill>
                <a:srgbClr val="0000FF"/>
              </a:solidFill>
              <a:prstDash val="solid"/>
            </a:ln>
          </c:spPr>
          <c:marker>
            <c:symbol val="none"/>
          </c:marker>
          <c:dLbls>
            <c:dLbl>
              <c:idx val="0"/>
              <c:tx>
                <c:rich>
                  <a:bodyPr rot="-31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60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29.881765236525613</c:v>
              </c:pt>
            </c:numLit>
          </c:xVal>
          <c:yVal>
            <c:numLit>
              <c:formatCode>General</c:formatCode>
              <c:ptCount val="1"/>
              <c:pt idx="0">
                <c:v>1.6575890513595995E-2</c:v>
              </c:pt>
            </c:numLit>
          </c:yVal>
          <c:smooth val="0"/>
          <c:extLst>
            <c:ext xmlns:c16="http://schemas.microsoft.com/office/drawing/2014/chart" uri="{C3380CC4-5D6E-409C-BE32-E72D297353CC}">
              <c16:uniqueId val="{0000002A-FDD4-42E4-87E6-BD3964183DBC}"/>
            </c:ext>
          </c:extLst>
        </c:ser>
        <c:ser>
          <c:idx val="30"/>
          <c:order val="30"/>
          <c:tx>
            <c:v>RH=60_3</c:v>
          </c:tx>
          <c:spPr>
            <a:ln w="3175">
              <a:solidFill>
                <a:srgbClr val="0000FF"/>
              </a:solidFill>
              <a:prstDash val="solid"/>
            </a:ln>
          </c:spPr>
          <c:marker>
            <c:symbol val="none"/>
          </c:marker>
          <c:xVal>
            <c:numLit>
              <c:formatCode>General</c:formatCode>
              <c:ptCount val="15"/>
              <c:pt idx="0">
                <c:v>30.180492418482846</c:v>
              </c:pt>
              <c:pt idx="1">
                <c:v>31.177453891540974</c:v>
              </c:pt>
              <c:pt idx="2">
                <c:v>32.176429201565348</c:v>
              </c:pt>
              <c:pt idx="3">
                <c:v>33.177641333674551</c:v>
              </c:pt>
              <c:pt idx="4">
                <c:v>34.181329486483897</c:v>
              </c:pt>
              <c:pt idx="5">
                <c:v>35.18775008865876</c:v>
              </c:pt>
              <c:pt idx="6">
                <c:v>36.19717788603942</c:v>
              </c:pt>
              <c:pt idx="7">
                <c:v>37.209907105737216</c:v>
              </c:pt>
              <c:pt idx="8">
                <c:v>38.226252704299107</c:v>
              </c:pt>
              <c:pt idx="9">
                <c:v>39.246551707818924</c:v>
              </c:pt>
              <c:pt idx="10">
                <c:v>40.271160513360229</c:v>
              </c:pt>
              <c:pt idx="11">
                <c:v>41.300468212126702</c:v>
              </c:pt>
              <c:pt idx="12">
                <c:v>42.334888519870255</c:v>
              </c:pt>
              <c:pt idx="13">
                <c:v>43.374862492056081</c:v>
              </c:pt>
              <c:pt idx="14">
                <c:v>42.698224206857375</c:v>
              </c:pt>
            </c:numLit>
          </c:xVal>
          <c:yVal>
            <c:numLit>
              <c:formatCode>General</c:formatCode>
              <c:ptCount val="15"/>
              <c:pt idx="0">
                <c:v>1.6870437016947411E-2</c:v>
              </c:pt>
              <c:pt idx="1">
                <c:v>1.7886565192149154E-2</c:v>
              </c:pt>
              <c:pt idx="2">
                <c:v>1.8957458295095053E-2</c:v>
              </c:pt>
              <c:pt idx="3">
                <c:v>2.0085809975849678E-2</c:v>
              </c:pt>
              <c:pt idx="4">
                <c:v>2.127444564301351E-2</c:v>
              </c:pt>
              <c:pt idx="5">
                <c:v>2.2526330127538324E-2</c:v>
              </c:pt>
              <c:pt idx="6">
                <c:v>2.3844575937580107E-2</c:v>
              </c:pt>
              <c:pt idx="7">
                <c:v>2.5232452159705081E-2</c:v>
              </c:pt>
              <c:pt idx="8">
                <c:v>2.6693394067577716E-2</c:v>
              </c:pt>
              <c:pt idx="9">
                <c:v>2.8231013505784899E-2</c:v>
              </c:pt>
              <c:pt idx="10">
                <c:v>2.984935294705339E-2</c:v>
              </c:pt>
              <c:pt idx="11">
                <c:v>3.1552270792490095E-2</c:v>
              </c:pt>
              <c:pt idx="12">
                <c:v>3.3343918402475865E-2</c:v>
              </c:pt>
              <c:pt idx="13">
                <c:v>3.522873949724975E-2</c:v>
              </c:pt>
              <c:pt idx="14">
                <c:v>3.4000000000000002E-2</c:v>
              </c:pt>
            </c:numLit>
          </c:yVal>
          <c:smooth val="1"/>
          <c:extLst>
            <c:ext xmlns:c16="http://schemas.microsoft.com/office/drawing/2014/chart" uri="{C3380CC4-5D6E-409C-BE32-E72D297353CC}">
              <c16:uniqueId val="{0000002B-FDD4-42E4-87E6-BD3964183DBC}"/>
            </c:ext>
          </c:extLst>
        </c:ser>
        <c:ser>
          <c:idx val="31"/>
          <c:order val="31"/>
          <c:tx>
            <c:v>RH=70_1</c:v>
          </c:tx>
          <c:spPr>
            <a:ln w="3175">
              <a:solidFill>
                <a:srgbClr val="0000FF"/>
              </a:solidFill>
              <a:prstDash val="solid"/>
            </a:ln>
          </c:spPr>
          <c:marker>
            <c:symbol val="none"/>
          </c:marker>
          <c:xVal>
            <c:numLit>
              <c:formatCode>General</c:formatCode>
              <c:ptCount val="26"/>
              <c:pt idx="0">
                <c:v>-10.124622307298575</c:v>
              </c:pt>
              <c:pt idx="1">
                <c:v>-9.1338979172609864</c:v>
              </c:pt>
              <c:pt idx="2">
                <c:v>-8.1437280234855134</c:v>
              </c:pt>
              <c:pt idx="3">
                <c:v>-7.1541338449252079</c:v>
              </c:pt>
              <c:pt idx="4">
                <c:v>-6.1651363118296896</c:v>
              </c:pt>
              <c:pt idx="5">
                <c:v>-5.1767559247885586</c:v>
              </c:pt>
              <c:pt idx="6">
                <c:v>-4.1890125991046698</c:v>
              </c:pt>
              <c:pt idx="7">
                <c:v>-3.2019254934867307</c:v>
              </c:pt>
              <c:pt idx="8">
                <c:v>-2.2155128219917031</c:v>
              </c:pt>
              <c:pt idx="9">
                <c:v>-1.2297916480837099</c:v>
              </c:pt>
              <c:pt idx="10">
                <c:v>-0.24477765960672535</c:v>
              </c:pt>
              <c:pt idx="11">
                <c:v>0.7420173412327703</c:v>
              </c:pt>
              <c:pt idx="12">
                <c:v>1.7283943345998389</c:v>
              </c:pt>
              <c:pt idx="13">
                <c:v>2.7143364544970345</c:v>
              </c:pt>
              <c:pt idx="14">
                <c:v>3.6998531446897225</c:v>
              </c:pt>
              <c:pt idx="15">
                <c:v>4.6849565229067851</c:v>
              </c:pt>
              <c:pt idx="16">
                <c:v>5.6696549833508803</c:v>
              </c:pt>
              <c:pt idx="17">
                <c:v>6.653972673256888</c:v>
              </c:pt>
              <c:pt idx="18">
                <c:v>7.6379311205439393</c:v>
              </c:pt>
              <c:pt idx="19">
                <c:v>8.6215555140799189</c:v>
              </c:pt>
              <c:pt idx="20">
                <c:v>9.6048749851296975</c:v>
              </c:pt>
              <c:pt idx="21">
                <c:v>10.587914619197658</c:v>
              </c:pt>
              <c:pt idx="22">
                <c:v>11.57071992192834</c:v>
              </c:pt>
              <c:pt idx="23">
                <c:v>12.553333684169095</c:v>
              </c:pt>
              <c:pt idx="24">
                <c:v>13.535803930399325</c:v>
              </c:pt>
              <c:pt idx="25">
                <c:v>13.663517251468223</c:v>
              </c:pt>
            </c:numLit>
          </c:xVal>
          <c:yVal>
            <c:numLit>
              <c:formatCode>General</c:formatCode>
              <c:ptCount val="26"/>
              <c:pt idx="0">
                <c:v>1.1233874654334045E-3</c:v>
              </c:pt>
              <c:pt idx="1">
                <c:v>1.2274585817801354E-3</c:v>
              </c:pt>
              <c:pt idx="2">
                <c:v>1.3402891326142665E-3</c:v>
              </c:pt>
              <c:pt idx="3">
                <c:v>1.4625414826896688E-3</c:v>
              </c:pt>
              <c:pt idx="4">
                <c:v>1.5949225201677061E-3</c:v>
              </c:pt>
              <c:pt idx="5">
                <c:v>1.7381863180575758E-3</c:v>
              </c:pt>
              <c:pt idx="6">
                <c:v>1.8931369444374524E-3</c:v>
              </c:pt>
              <c:pt idx="7">
                <c:v>2.0606314307937824E-3</c:v>
              </c:pt>
              <c:pt idx="8">
                <c:v>2.2415829086399218E-3</c:v>
              </c:pt>
              <c:pt idx="9">
                <c:v>2.436963925492433E-3</c:v>
              </c:pt>
              <c:pt idx="10">
                <c:v>2.6478099523050075E-3</c:v>
              </c:pt>
              <c:pt idx="11">
                <c:v>2.8476031898160307E-3</c:v>
              </c:pt>
              <c:pt idx="12">
                <c:v>3.0604312207948227E-3</c:v>
              </c:pt>
              <c:pt idx="13">
                <c:v>3.2873201415692466E-3</c:v>
              </c:pt>
              <c:pt idx="14">
                <c:v>3.5290759284962439E-3</c:v>
              </c:pt>
              <c:pt idx="15">
                <c:v>3.7865440615982605E-3</c:v>
              </c:pt>
              <c:pt idx="16">
                <c:v>4.0606926533359542E-3</c:v>
              </c:pt>
              <c:pt idx="17">
                <c:v>4.3523817292269416E-3</c:v>
              </c:pt>
              <c:pt idx="18">
                <c:v>4.662586952544772E-3</c:v>
              </c:pt>
              <c:pt idx="19">
                <c:v>4.9923308790401572E-3</c:v>
              </c:pt>
              <c:pt idx="20">
                <c:v>5.3426850128968318E-3</c:v>
              </c:pt>
              <c:pt idx="21">
                <c:v>5.7148868636222108E-3</c:v>
              </c:pt>
              <c:pt idx="22">
                <c:v>6.110013561687732E-3</c:v>
              </c:pt>
              <c:pt idx="23">
                <c:v>6.529298368583126E-3</c:v>
              </c:pt>
              <c:pt idx="24">
                <c:v>6.9740329453147794E-3</c:v>
              </c:pt>
              <c:pt idx="25">
                <c:v>7.0337875575625384E-3</c:v>
              </c:pt>
            </c:numLit>
          </c:yVal>
          <c:smooth val="1"/>
          <c:extLst>
            <c:ext xmlns:c16="http://schemas.microsoft.com/office/drawing/2014/chart" uri="{C3380CC4-5D6E-409C-BE32-E72D297353CC}">
              <c16:uniqueId val="{0000002C-FDD4-42E4-87E6-BD3964183DBC}"/>
            </c:ext>
          </c:extLst>
        </c:ser>
        <c:ser>
          <c:idx val="32"/>
          <c:order val="32"/>
          <c:tx>
            <c:v>RH=70_Label1</c:v>
          </c:tx>
          <c:spPr>
            <a:ln w="3175">
              <a:solidFill>
                <a:srgbClr val="0000FF"/>
              </a:solidFill>
              <a:prstDash val="solid"/>
            </a:ln>
          </c:spPr>
          <c:marker>
            <c:symbol val="none"/>
          </c:marker>
          <c:dLbls>
            <c:dLbl>
              <c:idx val="0"/>
              <c:tx>
                <c:rich>
                  <a:bodyPr rot="-19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D-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14.115415531085313</c:v>
              </c:pt>
            </c:numLit>
          </c:xVal>
          <c:yVal>
            <c:numLit>
              <c:formatCode>General</c:formatCode>
              <c:ptCount val="1"/>
              <c:pt idx="0">
                <c:v>7.248908724043295E-3</c:v>
              </c:pt>
            </c:numLit>
          </c:yVal>
          <c:smooth val="0"/>
          <c:extLst>
            <c:ext xmlns:c16="http://schemas.microsoft.com/office/drawing/2014/chart" uri="{C3380CC4-5D6E-409C-BE32-E72D297353CC}">
              <c16:uniqueId val="{0000002E-FDD4-42E4-87E6-BD3964183DBC}"/>
            </c:ext>
          </c:extLst>
        </c:ser>
        <c:ser>
          <c:idx val="33"/>
          <c:order val="33"/>
          <c:tx>
            <c:v>RH=70_2</c:v>
          </c:tx>
          <c:spPr>
            <a:ln w="3175">
              <a:solidFill>
                <a:srgbClr val="0000FF"/>
              </a:solidFill>
              <a:prstDash val="solid"/>
            </a:ln>
          </c:spPr>
          <c:marker>
            <c:symbol val="none"/>
          </c:marker>
          <c:xVal>
            <c:numLit>
              <c:formatCode>General</c:formatCode>
              <c:ptCount val="15"/>
              <c:pt idx="0">
                <c:v>14.557478452716124</c:v>
              </c:pt>
              <c:pt idx="1">
                <c:v>15.539828650256451</c:v>
              </c:pt>
              <c:pt idx="2">
                <c:v>16.522217362965936</c:v>
              </c:pt>
              <c:pt idx="3">
                <c:v>17.504717714343734</c:v>
              </c:pt>
              <c:pt idx="4">
                <c:v>18.487410131551616</c:v>
              </c:pt>
              <c:pt idx="5">
                <c:v>19.470382827891875</c:v>
              </c:pt>
              <c:pt idx="6">
                <c:v>20.453732312792965</c:v>
              </c:pt>
              <c:pt idx="7">
                <c:v>21.437563931214026</c:v>
              </c:pt>
              <c:pt idx="8">
                <c:v>22.421992434567873</c:v>
              </c:pt>
              <c:pt idx="9">
                <c:v>23.407142585470929</c:v>
              </c:pt>
              <c:pt idx="10">
                <c:v>24.393149271932984</c:v>
              </c:pt>
              <c:pt idx="11">
                <c:v>25.380146828018695</c:v>
              </c:pt>
              <c:pt idx="12">
                <c:v>26.368306476005845</c:v>
              </c:pt>
              <c:pt idx="13">
                <c:v>27.357799918479614</c:v>
              </c:pt>
              <c:pt idx="14">
                <c:v>27.60540309392756</c:v>
              </c:pt>
            </c:numLit>
          </c:xVal>
          <c:yVal>
            <c:numLit>
              <c:formatCode>General</c:formatCode>
              <c:ptCount val="15"/>
              <c:pt idx="0">
                <c:v>7.4650088052640581E-3</c:v>
              </c:pt>
              <c:pt idx="1">
                <c:v>7.9659241397534303E-3</c:v>
              </c:pt>
              <c:pt idx="2">
                <c:v>8.4966028039244381E-3</c:v>
              </c:pt>
              <c:pt idx="3">
                <c:v>9.058601130616949E-3</c:v>
              </c:pt>
              <c:pt idx="4">
                <c:v>9.6535489368709364E-3</c:v>
              </c:pt>
              <c:pt idx="5">
                <c:v>1.0283153077594011E-2</c:v>
              </c:pt>
              <c:pt idx="6">
                <c:v>1.0949201221749659E-2</c:v>
              </c:pt>
              <c:pt idx="7">
                <c:v>1.1653565869804223E-2</c:v>
              </c:pt>
              <c:pt idx="8">
                <c:v>1.2398208632955276E-2</c:v>
              </c:pt>
              <c:pt idx="9">
                <c:v>1.318518479663176E-2</c:v>
              </c:pt>
              <c:pt idx="10">
                <c:v>1.4016659610978009E-2</c:v>
              </c:pt>
              <c:pt idx="11">
                <c:v>1.4895172308085002E-2</c:v>
              </c:pt>
              <c:pt idx="12">
                <c:v>1.5822835533000876E-2</c:v>
              </c:pt>
              <c:pt idx="13">
                <c:v>1.6802134918069693E-2</c:v>
              </c:pt>
              <c:pt idx="14">
                <c:v>1.7055330715959553E-2</c:v>
              </c:pt>
            </c:numLit>
          </c:yVal>
          <c:smooth val="1"/>
          <c:extLst>
            <c:ext xmlns:c16="http://schemas.microsoft.com/office/drawing/2014/chart" uri="{C3380CC4-5D6E-409C-BE32-E72D297353CC}">
              <c16:uniqueId val="{0000002F-FDD4-42E4-87E6-BD3964183DBC}"/>
            </c:ext>
          </c:extLst>
        </c:ser>
        <c:ser>
          <c:idx val="34"/>
          <c:order val="34"/>
          <c:tx>
            <c:v>RH=70_Label2</c:v>
          </c:tx>
          <c:spPr>
            <a:ln w="3175">
              <a:solidFill>
                <a:srgbClr val="0000FF"/>
              </a:solidFill>
              <a:prstDash val="solid"/>
            </a:ln>
          </c:spPr>
          <c:marker>
            <c:symbol val="none"/>
          </c:marker>
          <c:dLbls>
            <c:dLbl>
              <c:idx val="0"/>
              <c:tx>
                <c:rich>
                  <a:bodyPr rot="-33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70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27.902656418060964</c:v>
              </c:pt>
            </c:numLit>
          </c:xVal>
          <c:yVal>
            <c:numLit>
              <c:formatCode>General</c:formatCode>
              <c:ptCount val="1"/>
              <c:pt idx="0">
                <c:v>1.7363699091236338E-2</c:v>
              </c:pt>
            </c:numLit>
          </c:yVal>
          <c:smooth val="0"/>
          <c:extLst>
            <c:ext xmlns:c16="http://schemas.microsoft.com/office/drawing/2014/chart" uri="{C3380CC4-5D6E-409C-BE32-E72D297353CC}">
              <c16:uniqueId val="{00000031-FDD4-42E4-87E6-BD3964183DBC}"/>
            </c:ext>
          </c:extLst>
        </c:ser>
        <c:ser>
          <c:idx val="35"/>
          <c:order val="35"/>
          <c:tx>
            <c:v>RH=70_3</c:v>
          </c:tx>
          <c:spPr>
            <a:ln w="3175">
              <a:solidFill>
                <a:srgbClr val="0000FF"/>
              </a:solidFill>
              <a:prstDash val="solid"/>
            </a:ln>
          </c:spPr>
          <c:marker>
            <c:symbol val="none"/>
          </c:marker>
          <c:xVal>
            <c:numLit>
              <c:formatCode>General</c:formatCode>
              <c:ptCount val="14"/>
              <c:pt idx="0">
                <c:v>28.200056090842775</c:v>
              </c:pt>
              <c:pt idx="1">
                <c:v>29.192516531934622</c:v>
              </c:pt>
              <c:pt idx="2">
                <c:v>30.186878036299017</c:v>
              </c:pt>
              <c:pt idx="3">
                <c:v>31.183369872871133</c:v>
              </c:pt>
              <c:pt idx="4">
                <c:v>32.182238665200806</c:v>
              </c:pt>
              <c:pt idx="5">
                <c:v>33.183749518970501</c:v>
              </c:pt>
              <c:pt idx="6">
                <c:v>34.188187230843702</c:v>
              </c:pt>
              <c:pt idx="7">
                <c:v>35.195857586295595</c:v>
              </c:pt>
              <c:pt idx="8">
                <c:v>36.207088754941182</c:v>
              </c:pt>
              <c:pt idx="9">
                <c:v>37.222232792847343</c:v>
              </c:pt>
              <c:pt idx="10">
                <c:v>38.241667262409628</c:v>
              </c:pt>
              <c:pt idx="11">
                <c:v>39.265796981608062</c:v>
              </c:pt>
              <c:pt idx="12">
                <c:v>40.295050347074792</c:v>
              </c:pt>
              <c:pt idx="13">
                <c:v>39.594578804453931</c:v>
              </c:pt>
            </c:numLit>
          </c:xVal>
          <c:yVal>
            <c:numLit>
              <c:formatCode>General</c:formatCode>
              <c:ptCount val="14"/>
              <c:pt idx="0">
                <c:v>1.7677082476637275E-2</c:v>
              </c:pt>
              <c:pt idx="1">
                <c:v>1.8758879091709882E-2</c:v>
              </c:pt>
              <c:pt idx="2">
                <c:v>1.9900088775318587E-2</c:v>
              </c:pt>
              <c:pt idx="3">
                <c:v>2.1103706378928135E-2</c:v>
              </c:pt>
              <c:pt idx="4">
                <c:v>2.2372878301942182E-2</c:v>
              </c:pt>
              <c:pt idx="5">
                <c:v>2.3710911672963426E-2</c:v>
              </c:pt>
              <c:pt idx="6">
                <c:v>2.5121284265609178E-2</c:v>
              </c:pt>
              <c:pt idx="7">
                <c:v>2.6607655219993035E-2</c:v>
              </c:pt>
              <c:pt idx="8">
                <c:v>2.8173876648752687E-2</c:v>
              </c:pt>
              <c:pt idx="9">
                <c:v>2.9824006215230181E-2</c:v>
              </c:pt>
              <c:pt idx="10">
                <c:v>3.1562320781235269E-2</c:v>
              </c:pt>
              <c:pt idx="11">
                <c:v>3.339333123290554E-2</c:v>
              </c:pt>
              <c:pt idx="12">
                <c:v>3.5322129223631905E-2</c:v>
              </c:pt>
              <c:pt idx="13">
                <c:v>3.4000000000000002E-2</c:v>
              </c:pt>
            </c:numLit>
          </c:yVal>
          <c:smooth val="1"/>
          <c:extLst>
            <c:ext xmlns:c16="http://schemas.microsoft.com/office/drawing/2014/chart" uri="{C3380CC4-5D6E-409C-BE32-E72D297353CC}">
              <c16:uniqueId val="{00000032-FDD4-42E4-87E6-BD3964183DBC}"/>
            </c:ext>
          </c:extLst>
        </c:ser>
        <c:ser>
          <c:idx val="36"/>
          <c:order val="36"/>
          <c:tx>
            <c:v>RH=80_1</c:v>
          </c:tx>
          <c:spPr>
            <a:ln w="3175">
              <a:solidFill>
                <a:srgbClr val="0000FF"/>
              </a:solidFill>
              <a:prstDash val="solid"/>
            </a:ln>
          </c:spPr>
          <c:marker>
            <c:symbol val="none"/>
          </c:marker>
          <c:xVal>
            <c:numLit>
              <c:formatCode>General</c:formatCode>
              <c:ptCount val="25"/>
              <c:pt idx="0">
                <c:v>-10.142462252313372</c:v>
              </c:pt>
              <c:pt idx="1">
                <c:v>-9.1530693451110441</c:v>
              </c:pt>
              <c:pt idx="2">
                <c:v>-8.1643111797046028</c:v>
              </c:pt>
              <c:pt idx="3">
                <c:v>-7.1762121585269725</c:v>
              </c:pt>
              <c:pt idx="4">
                <c:v>-6.1887963741239869</c:v>
              </c:pt>
              <c:pt idx="5">
                <c:v>-5.2020874503179</c:v>
              </c:pt>
              <c:pt idx="6">
                <c:v>-4.216108366796858</c:v>
              </c:pt>
              <c:pt idx="7">
                <c:v>-3.2308812659811013</c:v>
              </c:pt>
              <c:pt idx="8">
                <c:v>-2.2464272409472805</c:v>
              </c:pt>
              <c:pt idx="9">
                <c:v>-1.2627661031165411</c:v>
              </c:pt>
              <c:pt idx="10">
                <c:v>-0.27991612832932827</c:v>
              </c:pt>
              <c:pt idx="11">
                <c:v>0.70496971377479312</c:v>
              </c:pt>
              <c:pt idx="12">
                <c:v>1.6893751797203689</c:v>
              </c:pt>
              <c:pt idx="13">
                <c:v>2.673280691795791</c:v>
              </c:pt>
              <c:pt idx="14">
                <c:v>3.6566967537427413</c:v>
              </c:pt>
              <c:pt idx="15">
                <c:v>4.6396369047700743</c:v>
              </c:pt>
              <c:pt idx="16">
                <c:v>5.6221103937215835</c:v>
              </c:pt>
              <c:pt idx="17">
                <c:v>6.6041444768900135</c:v>
              </c:pt>
              <c:pt idx="18">
                <c:v>7.5857633852747366</c:v>
              </c:pt>
              <c:pt idx="19">
                <c:v>8.5669955137537652</c:v>
              </c:pt>
              <c:pt idx="20">
                <c:v>9.5478737437203733</c:v>
              </c:pt>
              <c:pt idx="21">
                <c:v>10.528426290323946</c:v>
              </c:pt>
              <c:pt idx="22">
                <c:v>11.508704734555835</c:v>
              </c:pt>
              <c:pt idx="23">
                <c:v>12.488757521913389</c:v>
              </c:pt>
              <c:pt idx="24">
                <c:v>12.508356639226964</c:v>
              </c:pt>
            </c:numLit>
          </c:xVal>
          <c:yVal>
            <c:numLit>
              <c:formatCode>General</c:formatCode>
              <c:ptCount val="25"/>
              <c:pt idx="0">
                <c:v>1.2842027403875593E-3</c:v>
              </c:pt>
              <c:pt idx="1">
                <c:v>1.4032054053372527E-3</c:v>
              </c:pt>
              <c:pt idx="2">
                <c:v>1.5322306894960248E-3</c:v>
              </c:pt>
              <c:pt idx="3">
                <c:v>1.6720376483506344E-3</c:v>
              </c:pt>
              <c:pt idx="4">
                <c:v>1.8234365626798278E-3</c:v>
              </c:pt>
              <c:pt idx="5">
                <c:v>1.9872920334292098E-3</c:v>
              </c:pt>
              <c:pt idx="6">
                <c:v>2.1645262544567742E-3</c:v>
              </c:pt>
              <c:pt idx="7">
                <c:v>2.3561224749136492E-3</c:v>
              </c:pt>
              <c:pt idx="8">
                <c:v>2.5631286641125323E-3</c:v>
              </c:pt>
              <c:pt idx="9">
                <c:v>2.7866613929500377E-3</c:v>
              </c:pt>
              <c:pt idx="10">
                <c:v>3.027909947304347E-3</c:v>
              </c:pt>
              <c:pt idx="11">
                <c:v>3.2565335521456892E-3</c:v>
              </c:pt>
              <c:pt idx="12">
                <c:v>3.5000959811974544E-3</c:v>
              </c:pt>
              <c:pt idx="13">
                <c:v>3.7597760701605356E-3</c:v>
              </c:pt>
              <c:pt idx="14">
                <c:v>4.0365014695512222E-3</c:v>
              </c:pt>
              <c:pt idx="15">
                <c:v>4.3312458040777246E-3</c:v>
              </c:pt>
              <c:pt idx="16">
                <c:v>4.6451239481437702E-3</c:v>
              </c:pt>
              <c:pt idx="17">
                <c:v>4.9791279851043521E-3</c:v>
              </c:pt>
              <c:pt idx="18">
                <c:v>5.3343834410344883E-3</c:v>
              </c:pt>
              <c:pt idx="19">
                <c:v>5.7120707207410411E-3</c:v>
              </c:pt>
              <c:pt idx="20">
                <c:v>6.1134276050712729E-3</c:v>
              </c:pt>
              <c:pt idx="21">
                <c:v>6.5398835392074571E-3</c:v>
              </c:pt>
              <c:pt idx="22">
                <c:v>6.9926858663954712E-3</c:v>
              </c:pt>
              <c:pt idx="23">
                <c:v>7.4732626119606346E-3</c:v>
              </c:pt>
              <c:pt idx="24">
                <c:v>7.4831676078565192E-3</c:v>
              </c:pt>
            </c:numLit>
          </c:yVal>
          <c:smooth val="1"/>
          <c:extLst>
            <c:ext xmlns:c16="http://schemas.microsoft.com/office/drawing/2014/chart" uri="{C3380CC4-5D6E-409C-BE32-E72D297353CC}">
              <c16:uniqueId val="{00000033-FDD4-42E4-87E6-BD3964183DBC}"/>
            </c:ext>
          </c:extLst>
        </c:ser>
        <c:ser>
          <c:idx val="37"/>
          <c:order val="37"/>
          <c:tx>
            <c:v>RH=80_Label1</c:v>
          </c:tx>
          <c:spPr>
            <a:ln w="3175">
              <a:solidFill>
                <a:srgbClr val="0000FF"/>
              </a:solidFill>
              <a:prstDash val="solid"/>
            </a:ln>
          </c:spPr>
          <c:marker>
            <c:symbol val="none"/>
          </c:marker>
          <c:dLbls>
            <c:dLbl>
              <c:idx val="0"/>
              <c:tx>
                <c:rich>
                  <a:bodyPr rot="-210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12.93952077992059</c:v>
              </c:pt>
            </c:numLit>
          </c:xVal>
          <c:yVal>
            <c:numLit>
              <c:formatCode>General</c:formatCode>
              <c:ptCount val="1"/>
              <c:pt idx="0">
                <c:v>7.7040641188605768E-3</c:v>
              </c:pt>
            </c:numLit>
          </c:yVal>
          <c:smooth val="0"/>
          <c:extLst>
            <c:ext xmlns:c16="http://schemas.microsoft.com/office/drawing/2014/chart" uri="{C3380CC4-5D6E-409C-BE32-E72D297353CC}">
              <c16:uniqueId val="{00000035-FDD4-42E4-87E6-BD3964183DBC}"/>
            </c:ext>
          </c:extLst>
        </c:ser>
        <c:ser>
          <c:idx val="38"/>
          <c:order val="38"/>
          <c:tx>
            <c:v>RH=80_2</c:v>
          </c:tx>
          <c:spPr>
            <a:ln w="3175">
              <a:solidFill>
                <a:srgbClr val="0000FF"/>
              </a:solidFill>
              <a:prstDash val="solid"/>
            </a:ln>
          </c:spPr>
          <c:marker>
            <c:symbol val="none"/>
          </c:marker>
          <c:xVal>
            <c:numLit>
              <c:formatCode>General</c:formatCode>
              <c:ptCount val="14"/>
              <c:pt idx="0">
                <c:v>13.3608586632075</c:v>
              </c:pt>
              <c:pt idx="1">
                <c:v>14.340638748180433</c:v>
              </c:pt>
              <c:pt idx="2">
                <c:v>15.320368273945533</c:v>
              </c:pt>
              <c:pt idx="3">
                <c:v>16.300121388752697</c:v>
              </c:pt>
              <c:pt idx="4">
                <c:v>17.279980004684329</c:v>
              </c:pt>
              <c:pt idx="5">
                <c:v>18.260034325056761</c:v>
              </c:pt>
              <c:pt idx="6">
                <c:v>19.240383402872951</c:v>
              </c:pt>
              <c:pt idx="7">
                <c:v>20.221135732568783</c:v>
              </c:pt>
              <c:pt idx="8">
                <c:v>21.202409877522989</c:v>
              </c:pt>
              <c:pt idx="9">
                <c:v>22.184335136054546</c:v>
              </c:pt>
              <c:pt idx="10">
                <c:v>23.167052248913919</c:v>
              </c:pt>
              <c:pt idx="11">
                <c:v>24.150714151590211</c:v>
              </c:pt>
              <c:pt idx="12">
                <c:v>25.135473037228405</c:v>
              </c:pt>
              <c:pt idx="13">
                <c:v>25.874877054992844</c:v>
              </c:pt>
            </c:numLit>
          </c:xVal>
          <c:yVal>
            <c:numLit>
              <c:formatCode>General</c:formatCode>
              <c:ptCount val="14"/>
              <c:pt idx="0">
                <c:v>7.9255468626814787E-3</c:v>
              </c:pt>
              <c:pt idx="1">
                <c:v>8.4627640216843013E-3</c:v>
              </c:pt>
              <c:pt idx="2">
                <c:v>9.0322819658535669E-3</c:v>
              </c:pt>
              <c:pt idx="3">
                <c:v>9.6358161442111449E-3</c:v>
              </c:pt>
              <c:pt idx="4">
                <c:v>1.0275164928481188E-2</c:v>
              </c:pt>
              <c:pt idx="5">
                <c:v>1.0952213771336889E-2</c:v>
              </c:pt>
              <c:pt idx="6">
                <c:v>1.1668939635490804E-2</c:v>
              </c:pt>
              <c:pt idx="7">
                <c:v>1.2427415717094702E-2</c:v>
              </c:pt>
              <c:pt idx="8">
                <c:v>1.3229816489212421E-2</c:v>
              </c:pt>
              <c:pt idx="9">
                <c:v>1.4078423093671105E-2</c:v>
              </c:pt>
              <c:pt idx="10">
                <c:v>1.497562911241101E-2</c:v>
              </c:pt>
              <c:pt idx="11">
                <c:v>1.5923946752573682E-2</c:v>
              </c:pt>
              <c:pt idx="12">
                <c:v>1.6926321665222295E-2</c:v>
              </c:pt>
              <c:pt idx="13">
                <c:v>1.7715092490545425E-2</c:v>
              </c:pt>
            </c:numLit>
          </c:yVal>
          <c:smooth val="1"/>
          <c:extLst>
            <c:ext xmlns:c16="http://schemas.microsoft.com/office/drawing/2014/chart" uri="{C3380CC4-5D6E-409C-BE32-E72D297353CC}">
              <c16:uniqueId val="{00000036-FDD4-42E4-87E6-BD3964183DBC}"/>
            </c:ext>
          </c:extLst>
        </c:ser>
        <c:ser>
          <c:idx val="39"/>
          <c:order val="39"/>
          <c:tx>
            <c:v>RH=80_Label2</c:v>
          </c:tx>
          <c:spPr>
            <a:ln w="3175">
              <a:solidFill>
                <a:srgbClr val="0000FF"/>
              </a:solidFill>
              <a:prstDash val="solid"/>
            </a:ln>
          </c:spPr>
          <c:marker>
            <c:symbol val="none"/>
          </c:marker>
          <c:dLbls>
            <c:dLbl>
              <c:idx val="0"/>
              <c:tx>
                <c:rich>
                  <a:bodyPr rot="-33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80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26.170859778080111</c:v>
              </c:pt>
            </c:numLit>
          </c:xVal>
          <c:yVal>
            <c:numLit>
              <c:formatCode>General</c:formatCode>
              <c:ptCount val="1"/>
              <c:pt idx="0">
                <c:v>1.8039780825415901E-2</c:v>
              </c:pt>
            </c:numLit>
          </c:yVal>
          <c:smooth val="0"/>
          <c:extLst>
            <c:ext xmlns:c16="http://schemas.microsoft.com/office/drawing/2014/chart" uri="{C3380CC4-5D6E-409C-BE32-E72D297353CC}">
              <c16:uniqueId val="{00000038-FDD4-42E4-87E6-BD3964183DBC}"/>
            </c:ext>
          </c:extLst>
        </c:ser>
        <c:ser>
          <c:idx val="40"/>
          <c:order val="40"/>
          <c:tx>
            <c:v>RH=80_3</c:v>
          </c:tx>
          <c:spPr>
            <a:ln w="3175">
              <a:solidFill>
                <a:srgbClr val="0000FF"/>
              </a:solidFill>
              <a:prstDash val="solid"/>
            </a:ln>
          </c:spPr>
          <c:marker>
            <c:symbol val="none"/>
          </c:marker>
          <c:xVal>
            <c:numLit>
              <c:formatCode>General</c:formatCode>
              <c:ptCount val="13"/>
              <c:pt idx="0">
                <c:v>26.466976910593637</c:v>
              </c:pt>
              <c:pt idx="1">
                <c:v>27.455076949237203</c:v>
              </c:pt>
              <c:pt idx="2">
                <c:v>28.444949400883822</c:v>
              </c:pt>
              <c:pt idx="3">
                <c:v>29.436827565234527</c:v>
              </c:pt>
              <c:pt idx="4">
                <c:v>30.430963058409187</c:v>
              </c:pt>
              <c:pt idx="5">
                <c:v>31.427627039849007</c:v>
              </c:pt>
              <c:pt idx="6">
                <c:v>32.427111530608649</c:v>
              </c:pt>
              <c:pt idx="7">
                <c:v>33.429730831909019</c:v>
              </c:pt>
              <c:pt idx="8">
                <c:v>34.435823053853696</c:v>
              </c:pt>
              <c:pt idx="9">
                <c:v>35.445751765376748</c:v>
              </c:pt>
              <c:pt idx="10">
                <c:v>36.45990777780662</c:v>
              </c:pt>
              <c:pt idx="11">
                <c:v>37.478711075921858</c:v>
              </c:pt>
              <c:pt idx="12">
                <c:v>36.958513469612221</c:v>
              </c:pt>
            </c:numLit>
          </c:xVal>
          <c:yVal>
            <c:numLit>
              <c:formatCode>General</c:formatCode>
              <c:ptCount val="13"/>
              <c:pt idx="0">
                <c:v>1.8369834550872179E-2</c:v>
              </c:pt>
              <c:pt idx="1">
                <c:v>1.9509818475929395E-2</c:v>
              </c:pt>
              <c:pt idx="2">
                <c:v>2.0713450771512626E-2</c:v>
              </c:pt>
              <c:pt idx="3">
                <c:v>2.1984008896382069E-2</c:v>
              </c:pt>
              <c:pt idx="4">
                <c:v>2.3324941056249882E-2</c:v>
              </c:pt>
              <c:pt idx="5">
                <c:v>2.4739876910536536E-2</c:v>
              </c:pt>
              <c:pt idx="6">
                <c:v>2.6232639162871791E-2</c:v>
              </c:pt>
              <c:pt idx="7">
                <c:v>2.780725612342148E-2</c:v>
              </c:pt>
              <c:pt idx="8">
                <c:v>2.9467975341054942E-2</c:v>
              </c:pt>
              <c:pt idx="9">
                <c:v>3.1219278414564438E-2</c:v>
              </c:pt>
              <c:pt idx="10">
                <c:v>3.3065897104802532E-2</c:v>
              </c:pt>
              <c:pt idx="11">
                <c:v>3.5012830883924491E-2</c:v>
              </c:pt>
              <c:pt idx="12">
                <c:v>3.4000000000000002E-2</c:v>
              </c:pt>
            </c:numLit>
          </c:yVal>
          <c:smooth val="1"/>
          <c:extLst>
            <c:ext xmlns:c16="http://schemas.microsoft.com/office/drawing/2014/chart" uri="{C3380CC4-5D6E-409C-BE32-E72D297353CC}">
              <c16:uniqueId val="{00000039-FDD4-42E4-87E6-BD3964183DBC}"/>
            </c:ext>
          </c:extLst>
        </c:ser>
        <c:ser>
          <c:idx val="41"/>
          <c:order val="41"/>
          <c:tx>
            <c:v>RH=90_1</c:v>
          </c:tx>
          <c:spPr>
            <a:ln w="3175">
              <a:solidFill>
                <a:srgbClr val="0000FF"/>
              </a:solidFill>
              <a:prstDash val="solid"/>
            </a:ln>
          </c:spPr>
          <c:marker>
            <c:symbol val="none"/>
          </c:marker>
          <c:xVal>
            <c:numLit>
              <c:formatCode>General</c:formatCode>
              <c:ptCount val="24"/>
              <c:pt idx="0">
                <c:v>-10.160311408243556</c:v>
              </c:pt>
              <c:pt idx="1">
                <c:v>-9.1722515888392806</c:v>
              </c:pt>
              <c:pt idx="2">
                <c:v>-8.1849070163387818</c:v>
              </c:pt>
              <c:pt idx="3">
                <c:v>-7.1983053151223135</c:v>
              </c:pt>
              <c:pt idx="4">
                <c:v>-6.2124737836153079</c:v>
              </c:pt>
              <c:pt idx="5">
                <c:v>-5.2274392181591223</c:v>
              </c:pt>
              <c:pt idx="6">
                <c:v>-4.2432277184566214</c:v>
              </c:pt>
              <c:pt idx="7">
                <c:v>-3.2598644733070836</c:v>
              </c:pt>
              <c:pt idx="8">
                <c:v>-2.2773735252646343</c:v>
              </c:pt>
              <c:pt idx="9">
                <c:v>-1.2957775127664004</c:v>
              </c:pt>
              <c:pt idx="10">
                <c:v>-0.31509738817978866</c:v>
              </c:pt>
              <c:pt idx="11">
                <c:v>0.66787356150364452</c:v>
              </c:pt>
              <c:pt idx="12">
                <c:v>1.6503010926400361</c:v>
              </c:pt>
              <c:pt idx="13">
                <c:v>2.632162838192071</c:v>
              </c:pt>
              <c:pt idx="14">
                <c:v>3.6134702872847182</c:v>
              </c:pt>
              <c:pt idx="15">
                <c:v>4.5942383205023143</c:v>
              </c:pt>
              <c:pt idx="16">
                <c:v>5.5744769520084745</c:v>
              </c:pt>
              <c:pt idx="17">
                <c:v>6.5542164583903677</c:v>
              </c:pt>
              <c:pt idx="18">
                <c:v>7.5334836764058082</c:v>
              </c:pt>
              <c:pt idx="19">
                <c:v>8.5123101039472857</c:v>
              </c:pt>
              <c:pt idx="20">
                <c:v>9.490732264027244</c:v>
              </c:pt>
              <c:pt idx="21">
                <c:v>10.468781381354987</c:v>
              </c:pt>
              <c:pt idx="22">
                <c:v>11.446514998561955</c:v>
              </c:pt>
              <c:pt idx="23">
                <c:v>11.466066812546941</c:v>
              </c:pt>
            </c:numLit>
          </c:xVal>
          <c:yVal>
            <c:numLit>
              <c:formatCode>General</c:formatCode>
              <c:ptCount val="24"/>
              <c:pt idx="0">
                <c:v>1.4451010456363609E-3</c:v>
              </c:pt>
              <c:pt idx="1">
                <c:v>1.5790513793722909E-3</c:v>
              </c:pt>
              <c:pt idx="2">
                <c:v>1.7242904934817753E-3</c:v>
              </c:pt>
              <c:pt idx="3">
                <c:v>1.8816746558483943E-3</c:v>
              </c:pt>
              <c:pt idx="4">
                <c:v>2.0521181482046785E-3</c:v>
              </c:pt>
              <c:pt idx="5">
                <c:v>2.2365968080945969E-3</c:v>
              </c:pt>
              <c:pt idx="6">
                <c:v>2.4361517798423041E-3</c:v>
              </c:pt>
              <c:pt idx="7">
                <c:v>2.651893489013245E-3</c:v>
              </c:pt>
              <c:pt idx="8">
                <c:v>2.8850058562471248E-3</c:v>
              </c:pt>
              <c:pt idx="9">
                <c:v>3.1367507679000511E-3</c:v>
              </c:pt>
              <c:pt idx="10">
                <c:v>3.4084728226759938E-3</c:v>
              </c:pt>
              <c:pt idx="11">
                <c:v>3.6659995295954982E-3</c:v>
              </c:pt>
              <c:pt idx="12">
                <c:v>3.9403797133078381E-3</c:v>
              </c:pt>
              <c:pt idx="13">
                <c:v>4.2329465200043074E-3</c:v>
              </c:pt>
              <c:pt idx="14">
                <c:v>4.5447509466055858E-3</c:v>
              </c:pt>
              <c:pt idx="15">
                <c:v>4.8768966496376548E-3</c:v>
              </c:pt>
              <c:pt idx="16">
                <c:v>5.2306474374324884E-3</c:v>
              </c:pt>
              <c:pt idx="17">
                <c:v>5.6071298181956681E-3</c:v>
              </c:pt>
              <c:pt idx="18">
                <c:v>6.0076218834582296E-3</c:v>
              </c:pt>
              <c:pt idx="19">
                <c:v>6.4334649282589956E-3</c:v>
              </c:pt>
              <c:pt idx="20">
                <c:v>6.8860664299542004E-3</c:v>
              </c:pt>
              <c:pt idx="21">
                <c:v>7.3670517005360123E-3</c:v>
              </c:pt>
              <c:pt idx="22">
                <c:v>7.8778425501793113E-3</c:v>
              </c:pt>
              <c:pt idx="23">
                <c:v>7.8883734305233554E-3</c:v>
              </c:pt>
            </c:numLit>
          </c:yVal>
          <c:smooth val="1"/>
          <c:extLst>
            <c:ext xmlns:c16="http://schemas.microsoft.com/office/drawing/2014/chart" uri="{C3380CC4-5D6E-409C-BE32-E72D297353CC}">
              <c16:uniqueId val="{0000003A-FDD4-42E4-87E6-BD3964183DBC}"/>
            </c:ext>
          </c:extLst>
        </c:ser>
        <c:ser>
          <c:idx val="42"/>
          <c:order val="42"/>
          <c:tx>
            <c:v>RH=90_Label1</c:v>
          </c:tx>
          <c:spPr>
            <a:ln w="3175">
              <a:solidFill>
                <a:srgbClr val="0000FF"/>
              </a:solidFill>
              <a:prstDash val="solid"/>
            </a:ln>
          </c:spPr>
          <c:marker>
            <c:symbol val="none"/>
          </c:marker>
          <c:dLbls>
            <c:dLbl>
              <c:idx val="0"/>
              <c:tx>
                <c:rich>
                  <a:bodyPr rot="-216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B-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11.886406335561087</c:v>
              </c:pt>
            </c:numLit>
          </c:xVal>
          <c:yVal>
            <c:numLit>
              <c:formatCode>General</c:formatCode>
              <c:ptCount val="1"/>
              <c:pt idx="0">
                <c:v>8.1178532770005106E-3</c:v>
              </c:pt>
            </c:numLit>
          </c:yVal>
          <c:smooth val="0"/>
          <c:extLst>
            <c:ext xmlns:c16="http://schemas.microsoft.com/office/drawing/2014/chart" uri="{C3380CC4-5D6E-409C-BE32-E72D297353CC}">
              <c16:uniqueId val="{0000003C-FDD4-42E4-87E6-BD3964183DBC}"/>
            </c:ext>
          </c:extLst>
        </c:ser>
        <c:ser>
          <c:idx val="43"/>
          <c:order val="43"/>
          <c:tx>
            <c:v>RH=90_2</c:v>
          </c:tx>
          <c:spPr>
            <a:ln w="3175">
              <a:solidFill>
                <a:srgbClr val="0000FF"/>
              </a:solidFill>
              <a:prstDash val="solid"/>
            </a:ln>
          </c:spPr>
          <c:marker>
            <c:symbol val="none"/>
          </c:marker>
          <c:xVal>
            <c:numLit>
              <c:formatCode>General</c:formatCode>
              <c:ptCount val="14"/>
              <c:pt idx="0">
                <c:v>12.287154552505491</c:v>
              </c:pt>
              <c:pt idx="1">
                <c:v>13.264450008749437</c:v>
              </c:pt>
              <c:pt idx="2">
                <c:v>14.241602544783566</c:v>
              </c:pt>
              <c:pt idx="3">
                <c:v>15.218686623205453</c:v>
              </c:pt>
              <c:pt idx="4">
                <c:v>16.195784869538244</c:v>
              </c:pt>
              <c:pt idx="5">
                <c:v>17.172988640875836</c:v>
              </c:pt>
              <c:pt idx="6">
                <c:v>18.150398628951599</c:v>
              </c:pt>
              <c:pt idx="7">
                <c:v>19.128125500200142</c:v>
              </c:pt>
              <c:pt idx="8">
                <c:v>20.106290575649407</c:v>
              </c:pt>
              <c:pt idx="9">
                <c:v>21.085026553779926</c:v>
              </c:pt>
              <c:pt idx="10">
                <c:v>22.064478279822467</c:v>
              </c:pt>
              <c:pt idx="11">
                <c:v>23.044803565339887</c:v>
              </c:pt>
              <c:pt idx="12">
                <c:v>24.026174062357637</c:v>
              </c:pt>
              <c:pt idx="13">
                <c:v>24.350283760914369</c:v>
              </c:pt>
            </c:numLit>
          </c:xVal>
          <c:yVal>
            <c:numLit>
              <c:formatCode>General</c:formatCode>
              <c:ptCount val="14"/>
              <c:pt idx="0">
                <c:v>8.3422001056663829E-3</c:v>
              </c:pt>
              <c:pt idx="1">
                <c:v>8.9128194892929211E-3</c:v>
              </c:pt>
              <c:pt idx="2">
                <c:v>9.518115555408645E-3</c:v>
              </c:pt>
              <c:pt idx="3">
                <c:v>1.0159955796425158E-2</c:v>
              </c:pt>
              <c:pt idx="4">
                <c:v>1.0840299888458355E-2</c:v>
              </c:pt>
              <c:pt idx="5">
                <c:v>1.1561204462982987E-2</c:v>
              </c:pt>
              <c:pt idx="6">
                <c:v>1.2324828199989819E-2</c:v>
              </c:pt>
              <c:pt idx="7">
                <c:v>1.3133437271204971E-2</c:v>
              </c:pt>
              <c:pt idx="8">
                <c:v>1.3989411164801244E-2</c:v>
              </c:pt>
              <c:pt idx="9">
                <c:v>1.4895248926209768E-2</c:v>
              </c:pt>
              <c:pt idx="10">
                <c:v>1.5853575853174682E-2</c:v>
              </c:pt>
              <c:pt idx="11">
                <c:v>1.68671506871205E-2</c:v>
              </c:pt>
              <c:pt idx="12">
                <c:v>1.7938873347281416E-2</c:v>
              </c:pt>
              <c:pt idx="13">
                <c:v>1.830588898250678E-2</c:v>
              </c:pt>
            </c:numLit>
          </c:yVal>
          <c:smooth val="1"/>
          <c:extLst>
            <c:ext xmlns:c16="http://schemas.microsoft.com/office/drawing/2014/chart" uri="{C3380CC4-5D6E-409C-BE32-E72D297353CC}">
              <c16:uniqueId val="{0000003D-FDD4-42E4-87E6-BD3964183DBC}"/>
            </c:ext>
          </c:extLst>
        </c:ser>
        <c:ser>
          <c:idx val="44"/>
          <c:order val="44"/>
          <c:tx>
            <c:v>RH=90_Label2</c:v>
          </c:tx>
          <c:spPr>
            <a:ln w="3175">
              <a:solidFill>
                <a:srgbClr val="0000FF"/>
              </a:solidFill>
              <a:prstDash val="solid"/>
            </a:ln>
          </c:spPr>
          <c:marker>
            <c:symbol val="none"/>
          </c:marker>
          <c:dLbls>
            <c:dLbl>
              <c:idx val="0"/>
              <c:tx>
                <c:rich>
                  <a:bodyPr rot="-342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90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E-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24.645048916449817</c:v>
              </c:pt>
            </c:numLit>
          </c:xVal>
          <c:yVal>
            <c:numLit>
              <c:formatCode>General</c:formatCode>
              <c:ptCount val="1"/>
              <c:pt idx="0">
                <c:v>1.8645468166416327E-2</c:v>
              </c:pt>
            </c:numLit>
          </c:yVal>
          <c:smooth val="0"/>
          <c:extLst>
            <c:ext xmlns:c16="http://schemas.microsoft.com/office/drawing/2014/chart" uri="{C3380CC4-5D6E-409C-BE32-E72D297353CC}">
              <c16:uniqueId val="{0000003F-FDD4-42E4-87E6-BD3964183DBC}"/>
            </c:ext>
          </c:extLst>
        </c:ser>
        <c:ser>
          <c:idx val="45"/>
          <c:order val="45"/>
          <c:tx>
            <c:v>RH=90_3</c:v>
          </c:tx>
          <c:spPr>
            <a:ln w="3175">
              <a:solidFill>
                <a:srgbClr val="0000FF"/>
              </a:solidFill>
              <a:prstDash val="solid"/>
            </a:ln>
          </c:spPr>
          <c:marker>
            <c:symbol val="none"/>
          </c:marker>
          <c:xVal>
            <c:numLit>
              <c:formatCode>General</c:formatCode>
              <c:ptCount val="12"/>
              <c:pt idx="0">
                <c:v>24.939936032452529</c:v>
              </c:pt>
              <c:pt idx="1">
                <c:v>25.92384661002826</c:v>
              </c:pt>
              <c:pt idx="2">
                <c:v>26.909393516522343</c:v>
              </c:pt>
              <c:pt idx="3">
                <c:v>27.896812587546918</c:v>
              </c:pt>
              <c:pt idx="4">
                <c:v>28.886358806211785</c:v>
              </c:pt>
              <c:pt idx="5">
                <c:v>29.87830762052651</c:v>
              </c:pt>
              <c:pt idx="6">
                <c:v>30.872956361702308</c:v>
              </c:pt>
              <c:pt idx="7">
                <c:v>31.870625773419732</c:v>
              </c:pt>
              <c:pt idx="8">
                <c:v>32.871661663330364</c:v>
              </c:pt>
              <c:pt idx="9">
                <c:v>33.876436689422889</c:v>
              </c:pt>
              <c:pt idx="10">
                <c:v>34.885352295428454</c:v>
              </c:pt>
              <c:pt idx="11">
                <c:v>34.663014089963724</c:v>
              </c:pt>
            </c:numLit>
          </c:xVal>
          <c:yVal>
            <c:numLit>
              <c:formatCode>General</c:formatCode>
              <c:ptCount val="12"/>
              <c:pt idx="0">
                <c:v>1.8990738550069466E-2</c:v>
              </c:pt>
              <c:pt idx="1">
                <c:v>2.0183882325276323E-2</c:v>
              </c:pt>
              <c:pt idx="2">
                <c:v>2.1444620082461376E-2</c:v>
              </c:pt>
              <c:pt idx="3">
                <c:v>2.2776498631904309E-2</c:v>
              </c:pt>
              <c:pt idx="4">
                <c:v>2.4183254349516771E-2</c:v>
              </c:pt>
              <c:pt idx="5">
                <c:v>2.5668825425554889E-2</c:v>
              </c:pt>
              <c:pt idx="6">
                <c:v>2.7237365152299648E-2</c:v>
              </c:pt>
              <c:pt idx="7">
                <c:v>2.8893256356949129E-2</c:v>
              </c:pt>
              <c:pt idx="8">
                <c:v>3.0641127098288597E-2</c:v>
              </c:pt>
              <c:pt idx="9">
                <c:v>3.2485867759629528E-2</c:v>
              </c:pt>
              <c:pt idx="10">
                <c:v>3.4432649686309907E-2</c:v>
              </c:pt>
              <c:pt idx="11">
                <c:v>3.4000000000000002E-2</c:v>
              </c:pt>
            </c:numLit>
          </c:yVal>
          <c:smooth val="1"/>
          <c:extLst>
            <c:ext xmlns:c16="http://schemas.microsoft.com/office/drawing/2014/chart" uri="{C3380CC4-5D6E-409C-BE32-E72D297353CC}">
              <c16:uniqueId val="{00000040-FDD4-42E4-87E6-BD3964183DBC}"/>
            </c:ext>
          </c:extLst>
        </c:ser>
        <c:ser>
          <c:idx val="46"/>
          <c:order val="46"/>
          <c:tx>
            <c:v>RH=100_1</c:v>
          </c:tx>
          <c:spPr>
            <a:ln w="3175">
              <a:solidFill>
                <a:srgbClr val="0000FF"/>
              </a:solidFill>
              <a:prstDash val="solid"/>
            </a:ln>
          </c:spPr>
          <c:marker>
            <c:symbol val="none"/>
          </c:marker>
          <c:xVal>
            <c:numLit>
              <c:formatCode>General</c:formatCode>
              <c:ptCount val="23"/>
              <c:pt idx="0">
                <c:v>-10.178169782224485</c:v>
              </c:pt>
              <c:pt idx="1">
                <c:v>-9.1914446576012097</c:v>
              </c:pt>
              <c:pt idx="2">
                <c:v>-8.2055155451094635</c:v>
              </c:pt>
              <c:pt idx="3">
                <c:v>-7.22041332968442</c:v>
              </c:pt>
              <c:pt idx="4">
                <c:v>-6.2361685593886982</c:v>
              </c:pt>
              <c:pt idx="5">
                <c:v>-5.2528112525852375</c:v>
              </c:pt>
              <c:pt idx="6">
                <c:v>-4.2703706848883494</c:v>
              </c:pt>
              <c:pt idx="7">
                <c:v>-3.2888751544738279</c:v>
              </c:pt>
              <c:pt idx="8">
                <c:v>-2.3083517242375029</c:v>
              </c:pt>
              <c:pt idx="9">
                <c:v>-1.3288259391909207</c:v>
              </c:pt>
              <c:pt idx="10">
                <c:v>-0.35032151737137113</c:v>
              </c:pt>
              <c:pt idx="11">
                <c:v>0.63072878902048002</c:v>
              </c:pt>
              <c:pt idx="12">
                <c:v>1.6111719572746135</c:v>
              </c:pt>
              <c:pt idx="13">
                <c:v>2.5909827527240186</c:v>
              </c:pt>
              <c:pt idx="14">
                <c:v>3.5701735744985212</c:v>
              </c:pt>
              <c:pt idx="15">
                <c:v>4.5487605635344499</c:v>
              </c:pt>
              <c:pt idx="16">
                <c:v>5.5267544089063207</c:v>
              </c:pt>
              <c:pt idx="17">
                <c:v>6.5041883174927406</c:v>
              </c:pt>
              <c:pt idx="18">
                <c:v>7.481091633037142</c:v>
              </c:pt>
              <c:pt idx="19">
                <c:v>8.4574988517709855</c:v>
              </c:pt>
              <c:pt idx="20">
                <c:v>9.4334500278774112</c:v>
              </c:pt>
              <c:pt idx="21">
                <c:v>10.408979273270996</c:v>
              </c:pt>
              <c:pt idx="22">
                <c:v>10.516264586793987</c:v>
              </c:pt>
            </c:numLit>
          </c:xVal>
          <c:yVal>
            <c:numLit>
              <c:formatCode>General</c:formatCode>
              <c:ptCount val="23"/>
              <c:pt idx="0">
                <c:v>1.6060824455002855E-3</c:v>
              </c:pt>
              <c:pt idx="1">
                <c:v>1.7549965878149991E-3</c:v>
              </c:pt>
              <c:pt idx="2">
                <c:v>1.9164686538757729E-3</c:v>
              </c:pt>
              <c:pt idx="3">
                <c:v>2.0914526472602013E-3</c:v>
              </c:pt>
              <c:pt idx="4">
                <c:v>2.2809674610698065E-3</c:v>
              </c:pt>
              <c:pt idx="5">
                <c:v>2.4861008807502316E-3</c:v>
              </c:pt>
              <c:pt idx="6">
                <c:v>2.7080138291286308E-3</c:v>
              </c:pt>
              <c:pt idx="7">
                <c:v>2.9479448711774276E-3</c:v>
              </c:pt>
              <c:pt idx="8">
                <c:v>3.2072149977556683E-3</c:v>
              </c:pt>
              <c:pt idx="9">
                <c:v>3.4872327095305327E-3</c:v>
              </c:pt>
              <c:pt idx="10">
                <c:v>3.7894994244688104E-3</c:v>
              </c:pt>
              <c:pt idx="11">
                <c:v>4.076002175174424E-3</c:v>
              </c:pt>
              <c:pt idx="12">
                <c:v>4.3812837251538872E-3</c:v>
              </c:pt>
              <c:pt idx="13">
                <c:v>4.7068331132422495E-3</c:v>
              </c:pt>
              <c:pt idx="14">
                <c:v>5.0538263680982628E-3</c:v>
              </c:pt>
              <c:pt idx="15">
                <c:v>5.4234990810554818E-3</c:v>
              </c:pt>
              <c:pt idx="16">
                <c:v>5.8172661857312045E-3</c:v>
              </c:pt>
              <c:pt idx="17">
                <c:v>6.236391005280101E-3</c:v>
              </c:pt>
              <c:pt idx="18">
                <c:v>6.6823069273506883E-3</c:v>
              </c:pt>
              <c:pt idx="19">
                <c:v>7.156519212147776E-3</c:v>
              </c:pt>
              <c:pt idx="20">
                <c:v>7.6606084940231836E-3</c:v>
              </c:pt>
              <c:pt idx="21">
                <c:v>8.196399932304619E-3</c:v>
              </c:pt>
              <c:pt idx="22">
                <c:v>8.2573377030506299E-3</c:v>
              </c:pt>
            </c:numLit>
          </c:yVal>
          <c:smooth val="1"/>
          <c:extLst>
            <c:ext xmlns:c16="http://schemas.microsoft.com/office/drawing/2014/chart" uri="{C3380CC4-5D6E-409C-BE32-E72D297353CC}">
              <c16:uniqueId val="{00000041-FDD4-42E4-87E6-BD3964183DBC}"/>
            </c:ext>
          </c:extLst>
        </c:ser>
        <c:ser>
          <c:idx val="47"/>
          <c:order val="47"/>
          <c:tx>
            <c:v>RH=100_Label1</c:v>
          </c:tx>
          <c:spPr>
            <a:ln w="3175">
              <a:solidFill>
                <a:srgbClr val="0000FF"/>
              </a:solidFill>
              <a:prstDash val="solid"/>
            </a:ln>
          </c:spPr>
          <c:marker>
            <c:symbol val="none"/>
          </c:marker>
          <c:dLbls>
            <c:dLbl>
              <c:idx val="0"/>
              <c:tx>
                <c:rich>
                  <a:bodyPr rot="-22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2-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10.916109197854718</c:v>
              </c:pt>
            </c:numLit>
          </c:xVal>
          <c:yVal>
            <c:numLit>
              <c:formatCode>General</c:formatCode>
              <c:ptCount val="1"/>
              <c:pt idx="0">
                <c:v>8.4880589687444351E-3</c:v>
              </c:pt>
            </c:numLit>
          </c:yVal>
          <c:smooth val="0"/>
          <c:extLst>
            <c:ext xmlns:c16="http://schemas.microsoft.com/office/drawing/2014/chart" uri="{C3380CC4-5D6E-409C-BE32-E72D297353CC}">
              <c16:uniqueId val="{00000043-FDD4-42E4-87E6-BD3964183DBC}"/>
            </c:ext>
          </c:extLst>
        </c:ser>
        <c:ser>
          <c:idx val="48"/>
          <c:order val="48"/>
          <c:tx>
            <c:v>RH=100_2</c:v>
          </c:tx>
          <c:spPr>
            <a:ln w="3175">
              <a:solidFill>
                <a:srgbClr val="0000FF"/>
              </a:solidFill>
              <a:prstDash val="solid"/>
            </a:ln>
          </c:spPr>
          <c:marker>
            <c:symbol val="none"/>
          </c:marker>
          <c:xVal>
            <c:numLit>
              <c:formatCode>General</c:formatCode>
              <c:ptCount val="13"/>
              <c:pt idx="0">
                <c:v>11.306148161457124</c:v>
              </c:pt>
              <c:pt idx="1">
                <c:v>12.281041279910601</c:v>
              </c:pt>
              <c:pt idx="2">
                <c:v>13.255696426782698</c:v>
              </c:pt>
              <c:pt idx="3">
                <c:v>14.23018774206972</c:v>
              </c:pt>
              <c:pt idx="4">
                <c:v>15.204597871348779</c:v>
              </c:pt>
              <c:pt idx="5">
                <c:v>16.179018572095902</c:v>
              </c:pt>
              <c:pt idx="6">
                <c:v>17.153551357611043</c:v>
              </c:pt>
              <c:pt idx="7">
                <c:v>18.128308181438197</c:v>
              </c:pt>
              <c:pt idx="8">
                <c:v>19.103412165477447</c:v>
              </c:pt>
              <c:pt idx="9">
                <c:v>20.078998375331533</c:v>
              </c:pt>
              <c:pt idx="10">
                <c:v>21.055214646816154</c:v>
              </c:pt>
              <c:pt idx="11">
                <c:v>22.032222467998068</c:v>
              </c:pt>
              <c:pt idx="12">
                <c:v>22.980842787419583</c:v>
              </c:pt>
            </c:numLit>
          </c:xVal>
          <c:yVal>
            <c:numLit>
              <c:formatCode>General</c:formatCode>
              <c:ptCount val="13"/>
              <c:pt idx="0">
                <c:v>8.7186984612775478E-3</c:v>
              </c:pt>
              <c:pt idx="1">
                <c:v>9.3200472156966009E-3</c:v>
              </c:pt>
              <c:pt idx="2">
                <c:v>9.9582974908895144E-3</c:v>
              </c:pt>
              <c:pt idx="3">
                <c:v>1.0635461977505508E-2</c:v>
              </c:pt>
              <c:pt idx="4">
                <c:v>1.1353654611274092E-2</c:v>
              </c:pt>
              <c:pt idx="5">
                <c:v>1.2115095962728417E-2</c:v>
              </c:pt>
              <c:pt idx="6">
                <c:v>1.2922119000939997E-2</c:v>
              </c:pt>
              <c:pt idx="7">
                <c:v>1.377717526523955E-2</c:v>
              </c:pt>
              <c:pt idx="8">
                <c:v>1.46828414823855E-2</c:v>
              </c:pt>
              <c:pt idx="9">
                <c:v>1.5641826670521098E-2</c:v>
              </c:pt>
              <c:pt idx="10">
                <c:v>1.665697977558259E-2</c:v>
              </c:pt>
              <c:pt idx="11">
                <c:v>1.7731297890637539E-2</c:v>
              </c:pt>
              <c:pt idx="12">
                <c:v>1.8832897951509976E-2</c:v>
              </c:pt>
            </c:numLit>
          </c:yVal>
          <c:smooth val="1"/>
          <c:extLst>
            <c:ext xmlns:c16="http://schemas.microsoft.com/office/drawing/2014/chart" uri="{C3380CC4-5D6E-409C-BE32-E72D297353CC}">
              <c16:uniqueId val="{00000044-FDD4-42E4-87E6-BD3964183DBC}"/>
            </c:ext>
          </c:extLst>
        </c:ser>
        <c:ser>
          <c:idx val="49"/>
          <c:order val="49"/>
          <c:tx>
            <c:v>RH=100_Label2</c:v>
          </c:tx>
          <c:spPr>
            <a:ln w="3175">
              <a:solidFill>
                <a:srgbClr val="0000FF"/>
              </a:solidFill>
              <a:prstDash val="solid"/>
            </a:ln>
          </c:spPr>
          <c:marker>
            <c:symbol val="none"/>
          </c:marker>
          <c:dLbls>
            <c:dLbl>
              <c:idx val="0"/>
              <c:tx>
                <c:rich>
                  <a:bodyPr rot="-3480000" vert="horz" wrap="square" lIns="38100" tIns="19050" rIns="38100" bIns="19050" anchor="ctr">
                    <a:spAutoFit/>
                  </a:bodyPr>
                  <a:lstStyle/>
                  <a:p>
                    <a:pPr algn="ctr">
                      <a:defRPr altLang="ja-JP" sz="700" u="none" strike="noStrike" baseline="0">
                        <a:latin typeface="ＭＳ Ｐ明朝"/>
                        <a:ea typeface="ＭＳ Ｐ明朝"/>
                        <a:cs typeface="ＭＳ Ｐ明朝"/>
                      </a:defRPr>
                    </a:pPr>
                    <a:r>
                      <a:rPr lang="en-US"/>
                      <a:t>100</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5-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23.274441676340576</c:v>
              </c:pt>
            </c:numLit>
          </c:xVal>
          <c:yVal>
            <c:numLit>
              <c:formatCode>General</c:formatCode>
              <c:ptCount val="1"/>
              <c:pt idx="0">
                <c:v>1.9185938466822944E-2</c:v>
              </c:pt>
            </c:numLit>
          </c:yVal>
          <c:smooth val="0"/>
          <c:extLst>
            <c:ext xmlns:c16="http://schemas.microsoft.com/office/drawing/2014/chart" uri="{C3380CC4-5D6E-409C-BE32-E72D297353CC}">
              <c16:uniqueId val="{00000046-FDD4-42E4-87E6-BD3964183DBC}"/>
            </c:ext>
          </c:extLst>
        </c:ser>
        <c:ser>
          <c:idx val="50"/>
          <c:order val="50"/>
          <c:tx>
            <c:v>RH=100_3</c:v>
          </c:tx>
          <c:spPr>
            <a:ln w="3175">
              <a:solidFill>
                <a:srgbClr val="0000FF"/>
              </a:solidFill>
              <a:prstDash val="solid"/>
            </a:ln>
          </c:spPr>
          <c:marker>
            <c:symbol val="none"/>
          </c:marker>
          <c:xVal>
            <c:numLit>
              <c:formatCode>General</c:formatCode>
              <c:ptCount val="12"/>
              <c:pt idx="0">
                <c:v>23.568149699182413</c:v>
              </c:pt>
              <c:pt idx="1">
                <c:v>24.548027900099004</c:v>
              </c:pt>
              <c:pt idx="2">
                <c:v>25.529389944809026</c:v>
              </c:pt>
              <c:pt idx="3">
                <c:v>26.512482514651783</c:v>
              </c:pt>
              <c:pt idx="4">
                <c:v>27.497562490796636</c:v>
              </c:pt>
              <c:pt idx="5">
                <c:v>28.484908011306281</c:v>
              </c:pt>
              <c:pt idx="6">
                <c:v>29.474819980120685</c:v>
              </c:pt>
              <c:pt idx="7">
                <c:v>30.467623697062518</c:v>
              </c:pt>
              <c:pt idx="8">
                <c:v>31.463670621458721</c:v>
              </c:pt>
              <c:pt idx="9">
                <c:v>32.463340283532261</c:v>
              </c:pt>
              <c:pt idx="10">
                <c:v>33.467042359491842</c:v>
              </c:pt>
              <c:pt idx="11">
                <c:v>32.643696673944994</c:v>
              </c:pt>
            </c:numLit>
          </c:xVal>
          <c:yVal>
            <c:numLit>
              <c:formatCode>General</c:formatCode>
              <c:ptCount val="12"/>
              <c:pt idx="0">
                <c:v>1.9544968716094731E-2</c:v>
              </c:pt>
              <c:pt idx="1">
                <c:v>2.078642319572007E-2</c:v>
              </c:pt>
              <c:pt idx="2">
                <c:v>2.2099351809162063E-2</c:v>
              </c:pt>
              <c:pt idx="3">
                <c:v>2.3487353058385261E-2</c:v>
              </c:pt>
              <c:pt idx="4">
                <c:v>2.4954438152261969E-2</c:v>
              </c:pt>
              <c:pt idx="5">
                <c:v>2.6504840036747992E-2</c:v>
              </c:pt>
              <c:pt idx="6">
                <c:v>2.8143028389042056E-2</c:v>
              </c:pt>
              <c:pt idx="7">
                <c:v>2.9873725935853069E-2</c:v>
              </c:pt>
              <c:pt idx="8">
                <c:v>3.1701926236084019E-2</c:v>
              </c:pt>
              <c:pt idx="9">
                <c:v>3.3632913085147265E-2</c:v>
              </c:pt>
              <c:pt idx="10">
                <c:v>3.567228171735233E-2</c:v>
              </c:pt>
              <c:pt idx="11">
                <c:v>3.4000000000000002E-2</c:v>
              </c:pt>
            </c:numLit>
          </c:yVal>
          <c:smooth val="1"/>
          <c:extLst>
            <c:ext xmlns:c16="http://schemas.microsoft.com/office/drawing/2014/chart" uri="{C3380CC4-5D6E-409C-BE32-E72D297353CC}">
              <c16:uniqueId val="{00000047-FDD4-42E4-87E6-BD3964183DBC}"/>
            </c:ext>
          </c:extLst>
        </c:ser>
        <c:ser>
          <c:idx val="51"/>
          <c:order val="51"/>
          <c:tx>
            <c:v>RH=5_1</c:v>
          </c:tx>
          <c:spPr>
            <a:ln w="3175">
              <a:solidFill>
                <a:srgbClr val="0000FF"/>
              </a:solidFill>
              <a:prstDash val="solid"/>
            </a:ln>
          </c:spPr>
          <c:marker>
            <c:symbol val="none"/>
          </c:marker>
          <c:xVal>
            <c:numLit>
              <c:formatCode>General</c:formatCode>
              <c:ptCount val="44"/>
              <c:pt idx="0">
                <c:v>4.9776233903200948</c:v>
              </c:pt>
              <c:pt idx="1">
                <c:v>5.9765461124062504</c:v>
              </c:pt>
              <c:pt idx="2">
                <c:v>6.9754433265574693</c:v>
              </c:pt>
              <c:pt idx="3">
                <c:v>7.9743167161359203</c:v>
              </c:pt>
              <c:pt idx="4">
                <c:v>8.9731682332912257</c:v>
              </c:pt>
              <c:pt idx="5">
                <c:v>9.9720001185570162</c:v>
              </c:pt>
              <c:pt idx="6">
                <c:v>10.970814339524935</c:v>
              </c:pt>
              <c:pt idx="7">
                <c:v>11.969614309804435</c:v>
              </c:pt>
              <c:pt idx="8">
                <c:v>12.96840326099748</c:v>
              </c:pt>
              <c:pt idx="9">
                <c:v>13.967184800874087</c:v>
              </c:pt>
              <c:pt idx="10">
                <c:v>14.965962937671193</c:v>
              </c:pt>
              <c:pt idx="11">
                <c:v>15.96474210539113</c:v>
              </c:pt>
              <c:pt idx="12">
                <c:v>16.963527190121308</c:v>
              </c:pt>
              <c:pt idx="13">
                <c:v>17.962323557396687</c:v>
              </c:pt>
              <c:pt idx="14">
                <c:v>18.96113708062671</c:v>
              </c:pt>
              <c:pt idx="15">
                <c:v>19.959974170608504</c:v>
              </c:pt>
              <c:pt idx="16">
                <c:v>20.958841806148165</c:v>
              </c:pt>
              <c:pt idx="17">
                <c:v>21.957747565812291</c:v>
              </c:pt>
              <c:pt idx="18">
                <c:v>22.956699660831834</c:v>
              </c:pt>
              <c:pt idx="19">
                <c:v>23.955706969180849</c:v>
              </c:pt>
              <c:pt idx="20">
                <c:v>24.954779070852826</c:v>
              </c:pt>
              <c:pt idx="21">
                <c:v>25.953925365223707</c:v>
              </c:pt>
              <c:pt idx="22">
                <c:v>26.953157835456782</c:v>
              </c:pt>
              <c:pt idx="23">
                <c:v>27.952488397435463</c:v>
              </c:pt>
              <c:pt idx="24">
                <c:v>28.951929823629314</c:v>
              </c:pt>
              <c:pt idx="25">
                <c:v>29.951495784802255</c:v>
              </c:pt>
              <c:pt idx="26">
                <c:v>30.951200893068666</c:v>
              </c:pt>
              <c:pt idx="27">
                <c:v>31.951060746323797</c:v>
              </c:pt>
              <c:pt idx="28">
                <c:v>32.951091974075759</c:v>
              </c:pt>
              <c:pt idx="29">
                <c:v>33.9513122847072</c:v>
              </c:pt>
              <c:pt idx="30">
                <c:v>34.951740514195947</c:v>
              </c:pt>
              <c:pt idx="31">
                <c:v>35.952396676324661</c:v>
              </c:pt>
              <c:pt idx="32">
                <c:v>36.9533020144112</c:v>
              </c:pt>
              <c:pt idx="33">
                <c:v>37.954479054592419</c:v>
              </c:pt>
              <c:pt idx="34">
                <c:v>38.955951660695632</c:v>
              </c:pt>
              <c:pt idx="35">
                <c:v>39.957745090733781</c:v>
              </c:pt>
              <c:pt idx="36">
                <c:v>40.959885654307307</c:v>
              </c:pt>
              <c:pt idx="37">
                <c:v>41.962402024883296</c:v>
              </c:pt>
              <c:pt idx="38">
                <c:v>42.965324010989782</c:v>
              </c:pt>
              <c:pt idx="39">
                <c:v>43.968683059608644</c:v>
              </c:pt>
              <c:pt idx="40">
                <c:v>44.972512321482363</c:v>
              </c:pt>
              <c:pt idx="41">
                <c:v>45.976846718306781</c:v>
              </c:pt>
              <c:pt idx="42">
                <c:v>46.981723011861952</c:v>
              </c:pt>
              <c:pt idx="43">
                <c:v>47.182766666949178</c:v>
              </c:pt>
            </c:numLit>
          </c:xVal>
          <c:yVal>
            <c:numLit>
              <c:formatCode>General</c:formatCode>
              <c:ptCount val="44"/>
              <c:pt idx="0">
                <c:v>2.6894706496995591E-4</c:v>
              </c:pt>
              <c:pt idx="1">
                <c:v>2.883016974500513E-4</c:v>
              </c:pt>
              <c:pt idx="2">
                <c:v>3.0887738788679987E-4</c:v>
              </c:pt>
              <c:pt idx="3">
                <c:v>3.3073967700030329E-4</c:v>
              </c:pt>
              <c:pt idx="4">
                <c:v>3.539569539605077E-4</c:v>
              </c:pt>
              <c:pt idx="5">
                <c:v>3.7860054746830814E-4</c:v>
              </c:pt>
              <c:pt idx="6">
                <c:v>4.0475288720587759E-4</c:v>
              </c:pt>
              <c:pt idx="7">
                <c:v>4.324844982560534E-4</c:v>
              </c:pt>
              <c:pt idx="8">
                <c:v>4.6187619059190967E-4</c:v>
              </c:pt>
              <c:pt idx="9">
                <c:v>4.930121015631261E-4</c:v>
              </c:pt>
              <c:pt idx="10">
                <c:v>5.2597979574161853E-4</c:v>
              </c:pt>
              <c:pt idx="11">
                <c:v>5.6087036648519981E-4</c:v>
              </c:pt>
              <c:pt idx="12">
                <c:v>5.9777853923045476E-4</c:v>
              </c:pt>
              <c:pt idx="13">
                <c:v>6.3680277652780669E-4</c:v>
              </c:pt>
              <c:pt idx="14">
                <c:v>6.780453848340256E-4</c:v>
              </c:pt>
              <c:pt idx="15">
                <c:v>7.2161262307971201E-4</c:v>
              </c:pt>
              <c:pt idx="16">
                <c:v>7.6761481303197878E-4</c:v>
              </c:pt>
              <c:pt idx="17">
                <c:v>8.1616645147532241E-4</c:v>
              </c:pt>
              <c:pt idx="18">
                <c:v>8.6738632423690452E-4</c:v>
              </c:pt>
              <c:pt idx="19">
                <c:v>9.2139762208571683E-4</c:v>
              </c:pt>
              <c:pt idx="20">
                <c:v>9.783280585388284E-4</c:v>
              </c:pt>
              <c:pt idx="21">
                <c:v>1.0383307030678828E-3</c:v>
              </c:pt>
              <c:pt idx="22">
                <c:v>1.1015244864534207E-3</c:v>
              </c:pt>
              <c:pt idx="23">
                <c:v>1.1680516173001498E-3</c:v>
              </c:pt>
              <c:pt idx="24">
                <c:v>1.2380593299771872E-3</c:v>
              </c:pt>
              <c:pt idx="25">
                <c:v>1.3117000131433135E-3</c:v>
              </c:pt>
              <c:pt idx="26">
                <c:v>1.3891313404901472E-3</c:v>
              </c:pt>
              <c:pt idx="27">
                <c:v>1.4705164037711607E-3</c:v>
              </c:pt>
              <c:pt idx="28">
                <c:v>1.5560238481906713E-3</c:v>
              </c:pt>
              <c:pt idx="29">
                <c:v>1.6458280102336351E-3</c:v>
              </c:pt>
              <c:pt idx="30">
                <c:v>1.7401090580242489E-3</c:v>
              </c:pt>
              <c:pt idx="31">
                <c:v>1.8390531343085432E-3</c:v>
              </c:pt>
              <c:pt idx="32">
                <c:v>1.9428525021642465E-3</c:v>
              </c:pt>
              <c:pt idx="33">
                <c:v>2.0517056935495715E-3</c:v>
              </c:pt>
              <c:pt idx="34">
                <c:v>2.1658176608111267E-3</c:v>
              </c:pt>
              <c:pt idx="35">
                <c:v>2.2853999312806269E-3</c:v>
              </c:pt>
              <c:pt idx="36">
                <c:v>2.4106948486765866E-3</c:v>
              </c:pt>
              <c:pt idx="37">
                <c:v>2.5419061134005754E-3</c:v>
              </c:pt>
              <c:pt idx="38">
                <c:v>2.6792661247527954E-3</c:v>
              </c:pt>
              <c:pt idx="39">
                <c:v>2.8230145191489361E-3</c:v>
              </c:pt>
              <c:pt idx="40">
                <c:v>2.9733983428754376E-3</c:v>
              </c:pt>
              <c:pt idx="41">
                <c:v>3.1306722289495314E-3</c:v>
              </c:pt>
              <c:pt idx="42">
                <c:v>3.295098578294037E-3</c:v>
              </c:pt>
              <c:pt idx="43">
                <c:v>3.3288657928423463E-3</c:v>
              </c:pt>
            </c:numLit>
          </c:yVal>
          <c:smooth val="1"/>
          <c:extLst>
            <c:ext xmlns:c16="http://schemas.microsoft.com/office/drawing/2014/chart" uri="{C3380CC4-5D6E-409C-BE32-E72D297353CC}">
              <c16:uniqueId val="{00000048-FDD4-42E4-87E6-BD3964183DBC}"/>
            </c:ext>
          </c:extLst>
        </c:ser>
        <c:ser>
          <c:idx val="52"/>
          <c:order val="52"/>
          <c:tx>
            <c:v>RH=5_Label</c:v>
          </c:tx>
          <c:spPr>
            <a:ln w="3175">
              <a:solidFill>
                <a:srgbClr val="0000FF"/>
              </a:solidFill>
              <a:prstDash val="solid"/>
            </a:ln>
          </c:spPr>
          <c:marker>
            <c:symbol val="none"/>
          </c:marker>
          <c:dLbls>
            <c:dLbl>
              <c:idx val="0"/>
              <c:tx>
                <c:rich>
                  <a:bodyPr rot="-78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9-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47.484376378579221</c:v>
              </c:pt>
            </c:numLit>
          </c:xVal>
          <c:yVal>
            <c:numLit>
              <c:formatCode>General</c:formatCode>
              <c:ptCount val="1"/>
              <c:pt idx="0">
                <c:v>3.3800780966238612E-3</c:v>
              </c:pt>
            </c:numLit>
          </c:yVal>
          <c:smooth val="0"/>
          <c:extLst>
            <c:ext xmlns:c16="http://schemas.microsoft.com/office/drawing/2014/chart" uri="{C3380CC4-5D6E-409C-BE32-E72D297353CC}">
              <c16:uniqueId val="{0000004A-FDD4-42E4-87E6-BD3964183DBC}"/>
            </c:ext>
          </c:extLst>
        </c:ser>
        <c:ser>
          <c:idx val="53"/>
          <c:order val="53"/>
          <c:tx>
            <c:v>RH=5_2</c:v>
          </c:tx>
          <c:spPr>
            <a:ln w="3175">
              <a:solidFill>
                <a:srgbClr val="0000FF"/>
              </a:solidFill>
              <a:prstDash val="solid"/>
            </a:ln>
          </c:spPr>
          <c:marker>
            <c:symbol val="none"/>
          </c:marker>
          <c:xVal>
            <c:numLit>
              <c:formatCode>General</c:formatCode>
              <c:ptCount val="4"/>
              <c:pt idx="0">
                <c:v>47.78604013452582</c:v>
              </c:pt>
              <c:pt idx="1">
                <c:v>48.791990629120036</c:v>
              </c:pt>
              <c:pt idx="2">
                <c:v>49.798596355979541</c:v>
              </c:pt>
              <c:pt idx="3">
                <c:v>50.000000000000007</c:v>
              </c:pt>
            </c:numLit>
          </c:xVal>
          <c:yVal>
            <c:numLit>
              <c:formatCode>General</c:formatCode>
              <c:ptCount val="4"/>
              <c:pt idx="0">
                <c:v>3.4319708374959527E-3</c:v>
              </c:pt>
              <c:pt idx="1">
                <c:v>3.6099583804882654E-3</c:v>
              </c:pt>
              <c:pt idx="2">
                <c:v>3.7958760338435635E-3</c:v>
              </c:pt>
              <c:pt idx="3">
                <c:v>3.8340368674482672E-3</c:v>
              </c:pt>
            </c:numLit>
          </c:yVal>
          <c:smooth val="1"/>
          <c:extLst>
            <c:ext xmlns:c16="http://schemas.microsoft.com/office/drawing/2014/chart" uri="{C3380CC4-5D6E-409C-BE32-E72D297353CC}">
              <c16:uniqueId val="{0000004B-FDD4-42E4-87E6-BD3964183DBC}"/>
            </c:ext>
          </c:extLst>
        </c:ser>
        <c:ser>
          <c:idx val="54"/>
          <c:order val="54"/>
          <c:tx>
            <c:v>RH=15_1</c:v>
          </c:tx>
          <c:spPr>
            <a:ln w="3175">
              <a:solidFill>
                <a:srgbClr val="0000FF"/>
              </a:solidFill>
              <a:prstDash val="solid"/>
            </a:ln>
          </c:spPr>
          <c:marker>
            <c:symbol val="none"/>
          </c:marker>
          <c:xVal>
            <c:numLit>
              <c:formatCode>General</c:formatCode>
              <c:ptCount val="43"/>
              <c:pt idx="0">
                <c:v>4.9328120662058037</c:v>
              </c:pt>
              <c:pt idx="1">
                <c:v>5.9295730482714228</c:v>
              </c:pt>
              <c:pt idx="2">
                <c:v>6.9262567373612773</c:v>
              </c:pt>
              <c:pt idx="3">
                <c:v>7.9228681182020555</c:v>
              </c:pt>
              <c:pt idx="4">
                <c:v>8.9194129788004801</c:v>
              </c:pt>
              <c:pt idx="5">
                <c:v>9.9158979695017493</c:v>
              </c:pt>
              <c:pt idx="6">
                <c:v>10.912328914825977</c:v>
              </c:pt>
              <c:pt idx="7">
                <c:v>11.908715983459764</c:v>
              </c:pt>
              <c:pt idx="8">
                <c:v>12.905068793043446</c:v>
              </c:pt>
              <c:pt idx="9">
                <c:v>13.901398089122475</c:v>
              </c:pt>
              <c:pt idx="10">
                <c:v>14.897715818985999</c:v>
              </c:pt>
              <c:pt idx="11">
                <c:v>15.894035208705857</c:v>
              </c:pt>
              <c:pt idx="12">
                <c:v>16.890370843469007</c:v>
              </c:pt>
              <c:pt idx="13">
                <c:v>17.886738751299848</c:v>
              </c:pt>
              <c:pt idx="14">
                <c:v>18.883156490272302</c:v>
              </c:pt>
              <c:pt idx="15">
                <c:v>19.879643239315833</c:v>
              </c:pt>
              <c:pt idx="16">
                <c:v>20.876219892723721</c:v>
              </c:pt>
              <c:pt idx="17">
                <c:v>21.872909158476965</c:v>
              </c:pt>
              <c:pt idx="18">
                <c:v>22.86973566050245</c:v>
              </c:pt>
              <c:pt idx="19">
                <c:v>23.866726044989953</c:v>
              </c:pt>
              <c:pt idx="20">
                <c:v>24.863909090898993</c:v>
              </c:pt>
              <c:pt idx="21">
                <c:v>25.861313048886803</c:v>
              </c:pt>
              <c:pt idx="22">
                <c:v>26.858973993203644</c:v>
              </c:pt>
              <c:pt idx="23">
                <c:v>27.856927825559083</c:v>
              </c:pt>
              <c:pt idx="24">
                <c:v>28.855213070331221</c:v>
              </c:pt>
              <c:pt idx="25">
                <c:v>29.853871008543511</c:v>
              </c:pt>
              <c:pt idx="26">
                <c:v>30.852945817009974</c:v>
              </c:pt>
              <c:pt idx="27">
                <c:v>31.852484712846547</c:v>
              </c:pt>
              <c:pt idx="28">
                <c:v>32.852538103559269</c:v>
              </c:pt>
              <c:pt idx="29">
                <c:v>33.853159742934409</c:v>
              </c:pt>
              <c:pt idx="30">
                <c:v>34.854406892971049</c:v>
              </c:pt>
              <c:pt idx="31">
                <c:v>35.856340492113461</c:v>
              </c:pt>
              <c:pt idx="32">
                <c:v>36.859025330058785</c:v>
              </c:pt>
              <c:pt idx="33">
                <c:v>37.86253022943545</c:v>
              </c:pt>
              <c:pt idx="34">
                <c:v>38.866928234668933</c:v>
              </c:pt>
              <c:pt idx="35">
                <c:v>39.872296808374962</c:v>
              </c:pt>
              <c:pt idx="36">
                <c:v>40.878716814523401</c:v>
              </c:pt>
              <c:pt idx="37">
                <c:v>41.886276545260401</c:v>
              </c:pt>
              <c:pt idx="38">
                <c:v>42.895068014466354</c:v>
              </c:pt>
              <c:pt idx="39">
                <c:v>43.90518852682635</c:v>
              </c:pt>
              <c:pt idx="40">
                <c:v>44.916740918221194</c:v>
              </c:pt>
              <c:pt idx="41">
                <c:v>45.929833806311073</c:v>
              </c:pt>
              <c:pt idx="42">
                <c:v>46.447141040472602</c:v>
              </c:pt>
            </c:numLit>
          </c:xVal>
          <c:yVal>
            <c:numLit>
              <c:formatCode>General</c:formatCode>
              <c:ptCount val="43"/>
              <c:pt idx="0">
                <c:v>8.0753956268771263E-4</c:v>
              </c:pt>
              <c:pt idx="1">
                <c:v>8.6570764221589327E-4</c:v>
              </c:pt>
              <c:pt idx="2">
                <c:v>9.2755341603594442E-4</c:v>
              </c:pt>
              <c:pt idx="3">
                <c:v>9.9327538516040146E-4</c:v>
              </c:pt>
              <c:pt idx="4">
                <c:v>1.0630808199149999E-3</c:v>
              </c:pt>
              <c:pt idx="5">
                <c:v>1.137186057543544E-3</c:v>
              </c:pt>
              <c:pt idx="6">
                <c:v>1.2158410764414958E-3</c:v>
              </c:pt>
              <c:pt idx="7">
                <c:v>1.2992603372874558E-3</c:v>
              </c:pt>
              <c:pt idx="8">
                <c:v>1.3876895408063471E-3</c:v>
              </c:pt>
              <c:pt idx="9">
                <c:v>1.4813847422758377E-3</c:v>
              </c:pt>
              <c:pt idx="10">
                <c:v>1.5806126897094368E-3</c:v>
              </c:pt>
              <c:pt idx="11">
                <c:v>1.6856511708081745E-3</c:v>
              </c:pt>
              <c:pt idx="12">
                <c:v>1.7967893690155705E-3</c:v>
              </c:pt>
              <c:pt idx="13">
                <c:v>1.9143282290381843E-3</c:v>
              </c:pt>
              <c:pt idx="14">
                <c:v>2.0385808322245149E-3</c:v>
              </c:pt>
              <c:pt idx="15">
                <c:v>2.1698727822271171E-3</c:v>
              </c:pt>
              <c:pt idx="16">
                <c:v>2.3085426014077663E-3</c:v>
              </c:pt>
              <c:pt idx="17">
                <c:v>2.4549421384825049E-3</c:v>
              </c:pt>
              <c:pt idx="18">
                <c:v>2.6094369879436801E-3</c:v>
              </c:pt>
              <c:pt idx="19">
                <c:v>2.7724069218384747E-3</c:v>
              </c:pt>
              <c:pt idx="20">
                <c:v>2.9442463345293766E-3</c:v>
              </c:pt>
              <c:pt idx="21">
                <c:v>3.1254272585097861E-3</c:v>
              </c:pt>
              <c:pt idx="22">
                <c:v>3.3163198419152674E-3</c:v>
              </c:pt>
              <c:pt idx="23">
                <c:v>3.517365774378339E-3</c:v>
              </c:pt>
              <c:pt idx="24">
                <c:v>3.729023329410901E-3</c:v>
              </c:pt>
              <c:pt idx="25">
                <c:v>3.9517678872373575E-3</c:v>
              </c:pt>
              <c:pt idx="26">
                <c:v>4.1860924756074117E-3</c:v>
              </c:pt>
              <c:pt idx="27">
                <c:v>4.4325083296407235E-3</c:v>
              </c:pt>
              <c:pt idx="28">
                <c:v>4.6915454718334821E-3</c:v>
              </c:pt>
              <c:pt idx="29">
                <c:v>4.9637533134403835E-3</c:v>
              </c:pt>
              <c:pt idx="30">
                <c:v>5.2497012785349493E-3</c:v>
              </c:pt>
              <c:pt idx="31">
                <c:v>5.5499794521452683E-3</c:v>
              </c:pt>
              <c:pt idx="32">
                <c:v>5.8651992539645445E-3</c:v>
              </c:pt>
              <c:pt idx="33">
                <c:v>6.1959941392444491E-3</c:v>
              </c:pt>
              <c:pt idx="34">
                <c:v>6.5430203285947253E-3</c:v>
              </c:pt>
              <c:pt idx="35">
                <c:v>6.906957568537187E-3</c:v>
              </c:pt>
              <c:pt idx="36">
                <c:v>7.2885833088089363E-3</c:v>
              </c:pt>
              <c:pt idx="37">
                <c:v>7.6885615233894828E-3</c:v>
              </c:pt>
              <c:pt idx="38">
                <c:v>8.1076480373922614E-3</c:v>
              </c:pt>
              <c:pt idx="39">
                <c:v>8.5466256283771892E-3</c:v>
              </c:pt>
              <c:pt idx="40">
                <c:v>9.0063049752121399E-3</c:v>
              </c:pt>
              <c:pt idx="41">
                <c:v>9.487525652025099E-3</c:v>
              </c:pt>
              <c:pt idx="42">
                <c:v>9.7415215954277639E-3</c:v>
              </c:pt>
            </c:numLit>
          </c:yVal>
          <c:smooth val="1"/>
          <c:extLst>
            <c:ext xmlns:c16="http://schemas.microsoft.com/office/drawing/2014/chart" uri="{C3380CC4-5D6E-409C-BE32-E72D297353CC}">
              <c16:uniqueId val="{0000004C-FDD4-42E4-87E6-BD3964183DBC}"/>
            </c:ext>
          </c:extLst>
        </c:ser>
        <c:ser>
          <c:idx val="55"/>
          <c:order val="55"/>
          <c:tx>
            <c:v>RH=15_Label</c:v>
          </c:tx>
          <c:spPr>
            <a:ln w="3175">
              <a:solidFill>
                <a:srgbClr val="0000FF"/>
              </a:solidFill>
              <a:prstDash val="solid"/>
            </a:ln>
          </c:spPr>
          <c:marker>
            <c:symbol val="none"/>
          </c:marker>
          <c:dLbls>
            <c:dLbl>
              <c:idx val="0"/>
              <c:tx>
                <c:rich>
                  <a:bodyPr rot="-20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15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4D-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46.751646831740644</c:v>
              </c:pt>
            </c:numLit>
          </c:xVal>
          <c:yVal>
            <c:numLit>
              <c:formatCode>General</c:formatCode>
              <c:ptCount val="1"/>
              <c:pt idx="0">
                <c:v>9.8937012958702358E-3</c:v>
              </c:pt>
            </c:numLit>
          </c:yVal>
          <c:smooth val="0"/>
          <c:extLst>
            <c:ext xmlns:c16="http://schemas.microsoft.com/office/drawing/2014/chart" uri="{C3380CC4-5D6E-409C-BE32-E72D297353CC}">
              <c16:uniqueId val="{0000004E-FDD4-42E4-87E6-BD3964183DBC}"/>
            </c:ext>
          </c:extLst>
        </c:ser>
        <c:ser>
          <c:idx val="56"/>
          <c:order val="56"/>
          <c:tx>
            <c:v>RH=15_2</c:v>
          </c:tx>
          <c:spPr>
            <a:ln w="3175">
              <a:solidFill>
                <a:srgbClr val="0000FF"/>
              </a:solidFill>
              <a:prstDash val="solid"/>
            </a:ln>
          </c:spPr>
          <c:marker>
            <c:symbol val="none"/>
          </c:marker>
          <c:xVal>
            <c:numLit>
              <c:formatCode>General</c:formatCode>
              <c:ptCount val="4"/>
              <c:pt idx="0">
                <c:v>47.056310316800555</c:v>
              </c:pt>
              <c:pt idx="1">
                <c:v>48.073037537462</c:v>
              </c:pt>
              <c:pt idx="2">
                <c:v>49.091682918519822</c:v>
              </c:pt>
              <c:pt idx="3">
                <c:v>50</c:v>
              </c:pt>
            </c:numLit>
          </c:xVal>
          <c:yVal>
            <c:numLit>
              <c:formatCode>General</c:formatCode>
              <c:ptCount val="4"/>
              <c:pt idx="0">
                <c:v>1.0047963183881549E-2</c:v>
              </c:pt>
              <c:pt idx="1">
                <c:v>1.0577526686358711E-2</c:v>
              </c:pt>
              <c:pt idx="2">
                <c:v>1.1131438908453318E-2</c:v>
              </c:pt>
              <c:pt idx="3">
                <c:v>1.1645684295829718E-2</c:v>
              </c:pt>
            </c:numLit>
          </c:yVal>
          <c:smooth val="1"/>
          <c:extLst>
            <c:ext xmlns:c16="http://schemas.microsoft.com/office/drawing/2014/chart" uri="{C3380CC4-5D6E-409C-BE32-E72D297353CC}">
              <c16:uniqueId val="{0000004F-FDD4-42E4-87E6-BD3964183DBC}"/>
            </c:ext>
          </c:extLst>
        </c:ser>
        <c:ser>
          <c:idx val="57"/>
          <c:order val="57"/>
          <c:tx>
            <c:v>RH=25_1</c:v>
          </c:tx>
          <c:spPr>
            <a:ln w="3175">
              <a:solidFill>
                <a:srgbClr val="0000FF"/>
              </a:solidFill>
              <a:prstDash val="solid"/>
            </a:ln>
          </c:spPr>
          <c:marker>
            <c:symbol val="none"/>
          </c:marker>
          <c:xVal>
            <c:numLit>
              <c:formatCode>General</c:formatCode>
              <c:ptCount val="37"/>
              <c:pt idx="0">
                <c:v>4.8879231012968791</c:v>
              </c:pt>
              <c:pt idx="1">
                <c:v>5.8825127300794398</c:v>
              </c:pt>
              <c:pt idx="2">
                <c:v>6.8769722487850746</c:v>
              </c:pt>
              <c:pt idx="3">
                <c:v>7.8713098552420631</c:v>
              </c:pt>
              <c:pt idx="4">
                <c:v>8.8655350807734692</c:v>
              </c:pt>
              <c:pt idx="5">
                <c:v>9.8596588890554671</c:v>
              </c:pt>
              <c:pt idx="6">
                <c:v>10.853690855483984</c:v>
              </c:pt>
              <c:pt idx="7">
                <c:v>11.847647805735933</c:v>
              </c:pt>
              <c:pt idx="8">
                <c:v>12.841545638426375</c:v>
              </c:pt>
              <c:pt idx="9">
                <c:v>13.835402130731799</c:v>
              </c:pt>
              <c:pt idx="10">
                <c:v>14.829237063000017</c:v>
              </c:pt>
              <c:pt idx="11">
                <c:v>15.823072349030694</c:v>
              </c:pt>
              <c:pt idx="12">
                <c:v>16.816932172229965</c:v>
              </c:pt>
              <c:pt idx="13">
                <c:v>17.810843127853662</c:v>
              </c:pt>
              <c:pt idx="14">
                <c:v>18.804834371565729</c:v>
              </c:pt>
              <c:pt idx="15">
                <c:v>19.798937774551831</c:v>
              </c:pt>
              <c:pt idx="16">
                <c:v>20.793188085442747</c:v>
              </c:pt>
              <c:pt idx="17">
                <c:v>21.787623099318349</c:v>
              </c:pt>
              <c:pt idx="18">
                <c:v>22.782283834080481</c:v>
              </c:pt>
              <c:pt idx="19">
                <c:v>23.777214714502644</c:v>
              </c:pt>
              <c:pt idx="20">
                <c:v>24.772463764285462</c:v>
              </c:pt>
              <c:pt idx="21">
                <c:v>25.768078148805394</c:v>
              </c:pt>
              <c:pt idx="22">
                <c:v>26.764118193744252</c:v>
              </c:pt>
              <c:pt idx="23">
                <c:v>27.760643986089452</c:v>
              </c:pt>
              <c:pt idx="24">
                <c:v>28.757720072682208</c:v>
              </c:pt>
              <c:pt idx="25">
                <c:v>29.755415698625718</c:v>
              </c:pt>
              <c:pt idx="26">
                <c:v>30.753805056280719</c:v>
              </c:pt>
              <c:pt idx="27">
                <c:v>31.752967545395908</c:v>
              </c:pt>
              <c:pt idx="28">
                <c:v>32.752988044964312</c:v>
              </c:pt>
              <c:pt idx="29">
                <c:v>33.753957197444102</c:v>
              </c:pt>
              <c:pt idx="30">
                <c:v>34.755971706033954</c:v>
              </c:pt>
              <c:pt idx="31">
                <c:v>35.75913464574959</c:v>
              </c:pt>
              <c:pt idx="32">
                <c:v>36.763555789109603</c:v>
              </c:pt>
              <c:pt idx="33">
                <c:v>37.76935194730585</c:v>
              </c:pt>
              <c:pt idx="34">
                <c:v>38.776647327806749</c:v>
              </c:pt>
              <c:pt idx="35">
                <c:v>39.785573909421991</c:v>
              </c:pt>
              <c:pt idx="36">
                <c:v>40.502977025632909</c:v>
              </c:pt>
            </c:numLit>
          </c:xVal>
          <c:yVal>
            <c:numLit>
              <c:formatCode>General</c:formatCode>
              <c:ptCount val="37"/>
              <c:pt idx="0">
                <c:v>1.3470652341139875E-3</c:v>
              </c:pt>
              <c:pt idx="1">
                <c:v>1.444186138075305E-3</c:v>
              </c:pt>
              <c:pt idx="2">
                <c:v>1.5474608367368606E-3</c:v>
              </c:pt>
              <c:pt idx="3">
                <c:v>1.6572233183113699E-3</c:v>
              </c:pt>
              <c:pt idx="4">
                <c:v>1.7738225641475147E-3</c:v>
              </c:pt>
              <c:pt idx="5">
                <c:v>1.8976230861585969E-3</c:v>
              </c:pt>
              <c:pt idx="6">
                <c:v>2.0290460350580602E-3</c:v>
              </c:pt>
              <c:pt idx="7">
                <c:v>2.1684536987783059E-3</c:v>
              </c:pt>
              <c:pt idx="8">
                <c:v>2.3162610831599165E-3</c:v>
              </c:pt>
              <c:pt idx="9">
                <c:v>2.4729010824941617E-3</c:v>
              </c:pt>
              <c:pt idx="10">
                <c:v>2.6388251094006578E-3</c:v>
              </c:pt>
              <c:pt idx="11">
                <c:v>2.8145037456534252E-3</c:v>
              </c:pt>
              <c:pt idx="12">
                <c:v>3.0004274150644203E-3</c:v>
              </c:pt>
              <c:pt idx="13">
                <c:v>3.1971070796238963E-3</c:v>
              </c:pt>
              <c:pt idx="14">
                <c:v>3.4050749601955599E-3</c:v>
              </c:pt>
              <c:pt idx="15">
                <c:v>3.6248852831695564E-3</c:v>
              </c:pt>
              <c:pt idx="16">
                <c:v>3.8571150545902433E-3</c:v>
              </c:pt>
              <c:pt idx="17">
                <c:v>4.1023648633974888E-3</c:v>
              </c:pt>
              <c:pt idx="18">
                <c:v>4.361259715552286E-3</c:v>
              </c:pt>
              <c:pt idx="19">
                <c:v>4.6344499009583016E-3</c:v>
              </c:pt>
              <c:pt idx="20">
                <c:v>4.9226118952435081E-3</c:v>
              </c:pt>
              <c:pt idx="21">
                <c:v>5.2265542630326326E-3</c:v>
              </c:pt>
              <c:pt idx="22">
                <c:v>5.5469167155980728E-3</c:v>
              </c:pt>
              <c:pt idx="23">
                <c:v>5.8844611435486405E-3</c:v>
              </c:pt>
              <c:pt idx="24">
                <c:v>6.2399796948719773E-3</c:v>
              </c:pt>
              <c:pt idx="25">
                <c:v>6.6142958920034235E-3</c:v>
              </c:pt>
              <c:pt idx="26">
                <c:v>7.0082658002715171E-3</c:v>
              </c:pt>
              <c:pt idx="27">
                <c:v>7.4227792512461021E-3</c:v>
              </c:pt>
              <c:pt idx="28">
                <c:v>7.8587611247914815E-3</c:v>
              </c:pt>
              <c:pt idx="29">
                <c:v>8.3171726939259092E-3</c:v>
              </c:pt>
              <c:pt idx="30">
                <c:v>8.7990130369118413E-3</c:v>
              </c:pt>
              <c:pt idx="31">
                <c:v>9.3053205213483765E-3</c:v>
              </c:pt>
              <c:pt idx="32">
                <c:v>9.8371743654150946E-3</c:v>
              </c:pt>
              <c:pt idx="33">
                <c:v>1.0395696281824395E-2</c:v>
              </c:pt>
              <c:pt idx="34">
                <c:v>1.0982052210479678E-2</c:v>
              </c:pt>
              <c:pt idx="35">
                <c:v>1.1597454146316129E-2</c:v>
              </c:pt>
              <c:pt idx="36">
                <c:v>1.2052797678929153E-2</c:v>
              </c:pt>
            </c:numLit>
          </c:yVal>
          <c:smooth val="1"/>
          <c:extLst>
            <c:ext xmlns:c16="http://schemas.microsoft.com/office/drawing/2014/chart" uri="{C3380CC4-5D6E-409C-BE32-E72D297353CC}">
              <c16:uniqueId val="{00000050-FDD4-42E4-87E6-BD3964183DBC}"/>
            </c:ext>
          </c:extLst>
        </c:ser>
        <c:ser>
          <c:idx val="58"/>
          <c:order val="58"/>
          <c:tx>
            <c:v>RH=25_Label</c:v>
          </c:tx>
          <c:spPr>
            <a:ln w="3175">
              <a:solidFill>
                <a:srgbClr val="0000FF"/>
              </a:solidFill>
              <a:prstDash val="solid"/>
            </a:ln>
          </c:spPr>
          <c:marker>
            <c:symbol val="none"/>
          </c:marker>
          <c:dLbls>
            <c:dLbl>
              <c:idx val="0"/>
              <c:tx>
                <c:rich>
                  <a:bodyPr rot="-246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25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1-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40.806386169423767</c:v>
              </c:pt>
            </c:numLit>
          </c:xVal>
          <c:yVal>
            <c:numLit>
              <c:formatCode>General</c:formatCode>
              <c:ptCount val="1"/>
              <c:pt idx="0">
                <c:v>1.2249902134970242E-2</c:v>
              </c:pt>
            </c:numLit>
          </c:yVal>
          <c:smooth val="0"/>
          <c:extLst>
            <c:ext xmlns:c16="http://schemas.microsoft.com/office/drawing/2014/chart" uri="{C3380CC4-5D6E-409C-BE32-E72D297353CC}">
              <c16:uniqueId val="{00000052-FDD4-42E4-87E6-BD3964183DBC}"/>
            </c:ext>
          </c:extLst>
        </c:ser>
        <c:ser>
          <c:idx val="59"/>
          <c:order val="59"/>
          <c:tx>
            <c:v>RH=25_2</c:v>
          </c:tx>
          <c:spPr>
            <a:ln w="3175">
              <a:solidFill>
                <a:srgbClr val="0000FF"/>
              </a:solidFill>
              <a:prstDash val="solid"/>
            </a:ln>
          </c:spPr>
          <c:marker>
            <c:symbol val="none"/>
          </c:marker>
          <c:xVal>
            <c:numLit>
              <c:formatCode>General</c:formatCode>
              <c:ptCount val="10"/>
              <c:pt idx="0">
                <c:v>41.109968218308687</c:v>
              </c:pt>
              <c:pt idx="1">
                <c:v>42.123211303357891</c:v>
              </c:pt>
              <c:pt idx="2">
                <c:v>43.138583326693805</c:v>
              </c:pt>
              <c:pt idx="3">
                <c:v>44.156254599087745</c:v>
              </c:pt>
              <c:pt idx="4">
                <c:v>45.176405544700636</c:v>
              </c:pt>
              <c:pt idx="5">
                <c:v>46.199227216995773</c:v>
              </c:pt>
              <c:pt idx="6">
                <c:v>47.224921842907413</c:v>
              </c:pt>
              <c:pt idx="7">
                <c:v>48.25370339732104</c:v>
              </c:pt>
              <c:pt idx="8">
                <c:v>49.28579821010468</c:v>
              </c:pt>
              <c:pt idx="9">
                <c:v>50.000000000000007</c:v>
              </c:pt>
            </c:numLit>
          </c:xVal>
          <c:yVal>
            <c:numLit>
              <c:formatCode>General</c:formatCode>
              <c:ptCount val="10"/>
              <c:pt idx="0">
                <c:v>1.2449854138452305E-2</c:v>
              </c:pt>
              <c:pt idx="1">
                <c:v>1.3137395921386881E-2</c:v>
              </c:pt>
              <c:pt idx="2">
                <c:v>1.3858364542330524E-2</c:v>
              </c:pt>
              <c:pt idx="3">
                <c:v>1.4614195184697873E-2</c:v>
              </c:pt>
              <c:pt idx="4">
                <c:v>1.5406380772538593E-2</c:v>
              </c:pt>
              <c:pt idx="5">
                <c:v>1.6236474590181415E-2</c:v>
              </c:pt>
              <c:pt idx="6">
                <c:v>1.710609306374512E-2</c:v>
              </c:pt>
              <c:pt idx="7">
                <c:v>1.801691871700566E-2</c:v>
              </c:pt>
              <c:pt idx="8">
                <c:v>1.8970703315174638E-2</c:v>
              </c:pt>
              <c:pt idx="9">
                <c:v>1.9654812629101279E-2</c:v>
              </c:pt>
            </c:numLit>
          </c:yVal>
          <c:smooth val="1"/>
          <c:extLst>
            <c:ext xmlns:c16="http://schemas.microsoft.com/office/drawing/2014/chart" uri="{C3380CC4-5D6E-409C-BE32-E72D297353CC}">
              <c16:uniqueId val="{00000053-FDD4-42E4-87E6-BD3964183DBC}"/>
            </c:ext>
          </c:extLst>
        </c:ser>
        <c:ser>
          <c:idx val="60"/>
          <c:order val="60"/>
          <c:tx>
            <c:v>RH=35_1</c:v>
          </c:tx>
          <c:spPr>
            <a:ln w="3175">
              <a:solidFill>
                <a:srgbClr val="0000FF"/>
              </a:solidFill>
              <a:prstDash val="solid"/>
            </a:ln>
          </c:spPr>
          <c:marker>
            <c:symbol val="none"/>
          </c:marker>
          <c:xVal>
            <c:numLit>
              <c:formatCode>General</c:formatCode>
              <c:ptCount val="33"/>
              <c:pt idx="0">
                <c:v>4.8429562936358943</c:v>
              </c:pt>
              <c:pt idx="1">
                <c:v>5.8353649144882471</c:v>
              </c:pt>
              <c:pt idx="2">
                <c:v>6.8275895682541066</c:v>
              </c:pt>
              <c:pt idx="3">
                <c:v>7.8196415762478599</c:v>
              </c:pt>
              <c:pt idx="4">
                <c:v>8.8115341190108474</c:v>
              </c:pt>
              <c:pt idx="5">
                <c:v>9.8032823752824214</c:v>
              </c:pt>
              <c:pt idx="6">
                <c:v>10.794899563201826</c:v>
              </c:pt>
              <c:pt idx="7">
                <c:v>11.786409065042472</c:v>
              </c:pt>
              <c:pt idx="8">
                <c:v>12.77783295268264</c:v>
              </c:pt>
              <c:pt idx="9">
                <c:v>13.769195925791198</c:v>
              </c:pt>
              <c:pt idx="10">
                <c:v>14.760525488409519</c:v>
              </c:pt>
              <c:pt idx="11">
                <c:v>15.751852133944434</c:v>
              </c:pt>
              <c:pt idx="12">
                <c:v>16.74320953892617</c:v>
              </c:pt>
              <c:pt idx="13">
                <c:v>17.734634765908794</c:v>
              </c:pt>
              <c:pt idx="14">
                <c:v>18.726168475916662</c:v>
              </c:pt>
              <c:pt idx="15">
                <c:v>19.717855150869013</c:v>
              </c:pt>
              <c:pt idx="16">
                <c:v>20.709743326446262</c:v>
              </c:pt>
              <c:pt idx="17">
                <c:v>21.701885835896331</c:v>
              </c:pt>
              <c:pt idx="18">
                <c:v>22.694340065317235</c:v>
              </c:pt>
              <c:pt idx="19">
                <c:v>23.687168220994245</c:v>
              </c:pt>
              <c:pt idx="20">
                <c:v>24.680437609415605</c:v>
              </c:pt>
              <c:pt idx="21">
                <c:v>25.674214365853523</c:v>
              </c:pt>
              <c:pt idx="22">
                <c:v>26.668583220188367</c:v>
              </c:pt>
              <c:pt idx="23">
                <c:v>27.6636286365605</c:v>
              </c:pt>
              <c:pt idx="24">
                <c:v>28.659441447875434</c:v>
              </c:pt>
              <c:pt idx="25">
                <c:v>29.656119211242075</c:v>
              </c:pt>
              <c:pt idx="26">
                <c:v>30.653766581138218</c:v>
              </c:pt>
              <c:pt idx="27">
                <c:v>31.652495701406082</c:v>
              </c:pt>
              <c:pt idx="28">
                <c:v>32.652426617277726</c:v>
              </c:pt>
              <c:pt idx="29">
                <c:v>33.6536877087363</c:v>
              </c:pt>
              <c:pt idx="30">
                <c:v>34.656416146635898</c:v>
              </c:pt>
              <c:pt idx="31">
                <c:v>35.660758373130619</c:v>
              </c:pt>
              <c:pt idx="32">
                <c:v>36.384971337507565</c:v>
              </c:pt>
            </c:numLit>
          </c:xVal>
          <c:yVal>
            <c:numLit>
              <c:formatCode>General</c:formatCode>
              <c:ptCount val="33"/>
              <c:pt idx="0">
                <c:v>1.8875265065984568E-3</c:v>
              </c:pt>
              <c:pt idx="1">
                <c:v>2.0237401762564001E-3</c:v>
              </c:pt>
              <c:pt idx="2">
                <c:v>2.1686033300371225E-3</c:v>
              </c:pt>
              <c:pt idx="3">
                <c:v>2.3225879966033455E-3</c:v>
              </c:pt>
              <c:pt idx="4">
                <c:v>2.4861877298070602E-3</c:v>
              </c:pt>
              <c:pt idx="5">
                <c:v>2.6599184202403814E-3</c:v>
              </c:pt>
              <c:pt idx="6">
                <c:v>2.8443760603662129E-3</c:v>
              </c:pt>
              <c:pt idx="7">
                <c:v>3.0400747109121822E-3</c:v>
              </c:pt>
              <c:pt idx="8">
                <c:v>3.2476031618899315E-3</c:v>
              </c:pt>
              <c:pt idx="9">
                <c:v>3.467576144773824E-3</c:v>
              </c:pt>
              <c:pt idx="10">
                <c:v>3.7006353096777946E-3</c:v>
              </c:pt>
              <c:pt idx="11">
                <c:v>3.9474502411748786E-3</c:v>
              </c:pt>
              <c:pt idx="12">
                <c:v>4.2087195151559722E-3</c:v>
              </c:pt>
              <c:pt idx="13">
                <c:v>4.4851717993238342E-3</c:v>
              </c:pt>
              <c:pt idx="14">
                <c:v>4.7775670001359146E-3</c:v>
              </c:pt>
              <c:pt idx="15">
                <c:v>5.0866974592432227E-3</c:v>
              </c:pt>
              <c:pt idx="16">
                <c:v>5.4133892027263455E-3</c:v>
              </c:pt>
              <c:pt idx="17">
                <c:v>5.7585032467030641E-3</c:v>
              </c:pt>
              <c:pt idx="18">
                <c:v>6.1229369631792784E-3</c:v>
              </c:pt>
              <c:pt idx="19">
                <c:v>6.5076255103347367E-3</c:v>
              </c:pt>
              <c:pt idx="20">
                <c:v>6.9135433317828654E-3</c:v>
              </c:pt>
              <c:pt idx="21">
                <c:v>7.3418536727454121E-3</c:v>
              </c:pt>
              <c:pt idx="22">
                <c:v>7.7934848174498117E-3</c:v>
              </c:pt>
              <c:pt idx="23">
                <c:v>8.2695403621734203E-3</c:v>
              </c:pt>
              <c:pt idx="24">
                <c:v>8.771170082880541E-3</c:v>
              </c:pt>
              <c:pt idx="25">
                <c:v>9.299571868023453E-3</c:v>
              </c:pt>
              <c:pt idx="26">
                <c:v>9.8559937570728701E-3</c:v>
              </c:pt>
              <c:pt idx="27">
                <c:v>1.0441736092756343E-2</c:v>
              </c:pt>
              <c:pt idx="28">
                <c:v>1.1058153795654896E-2</c:v>
              </c:pt>
              <c:pt idx="29">
                <c:v>1.1706658770540258E-2</c:v>
              </c:pt>
              <c:pt idx="30">
                <c:v>1.2388722454634234E-2</c:v>
              </c:pt>
              <c:pt idx="31">
                <c:v>1.310587851884021E-2</c:v>
              </c:pt>
              <c:pt idx="32">
                <c:v>1.3644855003375554E-2</c:v>
              </c:pt>
            </c:numLit>
          </c:yVal>
          <c:smooth val="1"/>
          <c:extLst>
            <c:ext xmlns:c16="http://schemas.microsoft.com/office/drawing/2014/chart" uri="{C3380CC4-5D6E-409C-BE32-E72D297353CC}">
              <c16:uniqueId val="{00000054-FDD4-42E4-87E6-BD3964183DBC}"/>
            </c:ext>
          </c:extLst>
        </c:ser>
        <c:ser>
          <c:idx val="61"/>
          <c:order val="61"/>
          <c:tx>
            <c:v>RH=35_Label</c:v>
          </c:tx>
          <c:spPr>
            <a:ln w="3175">
              <a:solidFill>
                <a:srgbClr val="0000FF"/>
              </a:solidFill>
              <a:prstDash val="solid"/>
            </a:ln>
          </c:spPr>
          <c:marker>
            <c:symbol val="none"/>
          </c:marker>
          <c:dLbls>
            <c:dLbl>
              <c:idx val="0"/>
              <c:tx>
                <c:rich>
                  <a:bodyPr rot="-276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35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5-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36.687012032716936</c:v>
              </c:pt>
            </c:numLit>
          </c:xVal>
          <c:yVal>
            <c:numLit>
              <c:formatCode>General</c:formatCode>
              <c:ptCount val="1"/>
              <c:pt idx="0">
                <c:v>1.3875188258477089E-2</c:v>
              </c:pt>
            </c:numLit>
          </c:yVal>
          <c:smooth val="0"/>
          <c:extLst>
            <c:ext xmlns:c16="http://schemas.microsoft.com/office/drawing/2014/chart" uri="{C3380CC4-5D6E-409C-BE32-E72D297353CC}">
              <c16:uniqueId val="{00000056-FDD4-42E4-87E6-BD3964183DBC}"/>
            </c:ext>
          </c:extLst>
        </c:ser>
        <c:ser>
          <c:idx val="62"/>
          <c:order val="62"/>
          <c:tx>
            <c:v>RH=35_2</c:v>
          </c:tx>
          <c:spPr>
            <a:ln w="3175">
              <a:solidFill>
                <a:srgbClr val="0000FF"/>
              </a:solidFill>
              <a:prstDash val="solid"/>
            </a:ln>
          </c:spPr>
          <c:marker>
            <c:symbol val="none"/>
          </c:marker>
          <c:xVal>
            <c:numLit>
              <c:formatCode>General</c:formatCode>
              <c:ptCount val="14"/>
              <c:pt idx="0">
                <c:v>36.989227251847005</c:v>
              </c:pt>
              <c:pt idx="1">
                <c:v>37.997932651779394</c:v>
              </c:pt>
              <c:pt idx="2">
                <c:v>39.00881116417105</c:v>
              </c:pt>
              <c:pt idx="3">
                <c:v>40.02205449777933</c:v>
              </c:pt>
              <c:pt idx="4">
                <c:v>41.037866760035634</c:v>
              </c:pt>
              <c:pt idx="5">
                <c:v>42.056468183587832</c:v>
              </c:pt>
              <c:pt idx="6">
                <c:v>43.078090565743416</c:v>
              </c:pt>
              <c:pt idx="7">
                <c:v>44.102980194192732</c:v>
              </c:pt>
              <c:pt idx="8">
                <c:v>45.131398661199782</c:v>
              </c:pt>
              <c:pt idx="9">
                <c:v>46.163623729572627</c:v>
              </c:pt>
              <c:pt idx="10">
                <c:v>47.199950254715397</c:v>
              </c:pt>
              <c:pt idx="11">
                <c:v>48.240691167489317</c:v>
              </c:pt>
              <c:pt idx="12">
                <c:v>49.286178523080601</c:v>
              </c:pt>
              <c:pt idx="13">
                <c:v>50</c:v>
              </c:pt>
            </c:numLit>
          </c:xVal>
          <c:yVal>
            <c:numLit>
              <c:formatCode>General</c:formatCode>
              <c:ptCount val="14"/>
              <c:pt idx="0">
                <c:v>1.4108976317031181E-2</c:v>
              </c:pt>
              <c:pt idx="1">
                <c:v>1.491381979626661E-2</c:v>
              </c:pt>
              <c:pt idx="2">
                <c:v>1.5759331523293861E-2</c:v>
              </c:pt>
              <c:pt idx="3">
                <c:v>1.6647403760885849E-2</c:v>
              </c:pt>
              <c:pt idx="4">
                <c:v>1.7580028207482008E-2</c:v>
              </c:pt>
              <c:pt idx="5">
                <c:v>1.8559098294035549E-2</c:v>
              </c:pt>
              <c:pt idx="6">
                <c:v>1.9586704885560857E-2</c:v>
              </c:pt>
              <c:pt idx="7">
                <c:v>2.0665031485887941E-2</c:v>
              </c:pt>
              <c:pt idx="8">
                <c:v>2.1796359116006504E-2</c:v>
              </c:pt>
              <c:pt idx="9">
                <c:v>2.298307153604754E-2</c:v>
              </c:pt>
              <c:pt idx="10">
                <c:v>2.4227660840216245E-2</c:v>
              </c:pt>
              <c:pt idx="11">
                <c:v>2.5532733456782093E-2</c:v>
              </c:pt>
              <c:pt idx="12">
                <c:v>2.6901016588325579E-2</c:v>
              </c:pt>
              <c:pt idx="13">
                <c:v>2.7869006304865641E-2</c:v>
              </c:pt>
            </c:numLit>
          </c:yVal>
          <c:smooth val="1"/>
          <c:extLst>
            <c:ext xmlns:c16="http://schemas.microsoft.com/office/drawing/2014/chart" uri="{C3380CC4-5D6E-409C-BE32-E72D297353CC}">
              <c16:uniqueId val="{00000057-FDD4-42E4-87E6-BD3964183DBC}"/>
            </c:ext>
          </c:extLst>
        </c:ser>
        <c:ser>
          <c:idx val="63"/>
          <c:order val="63"/>
          <c:tx>
            <c:v>RH=45_1</c:v>
          </c:tx>
          <c:spPr>
            <a:ln w="3175">
              <a:solidFill>
                <a:srgbClr val="0000FF"/>
              </a:solidFill>
              <a:prstDash val="solid"/>
            </a:ln>
          </c:spPr>
          <c:marker>
            <c:symbol val="none"/>
          </c:marker>
          <c:xVal>
            <c:numLit>
              <c:formatCode>General</c:formatCode>
              <c:ptCount val="30"/>
              <c:pt idx="0">
                <c:v>4.7979114405643841</c:v>
              </c:pt>
              <c:pt idx="1">
                <c:v>5.7881293572500709</c:v>
              </c:pt>
              <c:pt idx="2">
                <c:v>6.7781084020266285</c:v>
              </c:pt>
              <c:pt idx="3">
                <c:v>7.7678629287117902</c:v>
              </c:pt>
              <c:pt idx="4">
                <c:v>8.7574096713914997</c:v>
              </c:pt>
              <c:pt idx="5">
                <c:v>9.7467679237906673</c:v>
              </c:pt>
              <c:pt idx="6">
                <c:v>10.735954436551337</c:v>
              </c:pt>
              <c:pt idx="7">
                <c:v>11.724999045808413</c:v>
              </c:pt>
              <c:pt idx="8">
                <c:v>12.7139298863019</c:v>
              </c:pt>
              <c:pt idx="9">
                <c:v>13.702778468008708</c:v>
              </c:pt>
              <c:pt idx="10">
                <c:v>14.691579905864549</c:v>
              </c:pt>
              <c:pt idx="11">
                <c:v>15.680373160907957</c:v>
              </c:pt>
              <c:pt idx="12">
                <c:v>16.669201293391961</c:v>
              </c:pt>
              <c:pt idx="13">
                <c:v>17.658111728450482</c:v>
              </c:pt>
              <c:pt idx="14">
                <c:v>18.647156534952014</c:v>
              </c:pt>
              <c:pt idx="15">
                <c:v>19.636392718223561</c:v>
              </c:pt>
              <c:pt idx="16">
                <c:v>20.625882527383471</c:v>
              </c:pt>
              <c:pt idx="17">
                <c:v>21.615693778082875</c:v>
              </c:pt>
              <c:pt idx="18">
                <c:v>22.60590019152318</c:v>
              </c:pt>
              <c:pt idx="19">
                <c:v>23.596581750691325</c:v>
              </c:pt>
              <c:pt idx="20">
                <c:v>24.587825074836598</c:v>
              </c:pt>
              <c:pt idx="21">
                <c:v>25.579715315640659</c:v>
              </c:pt>
              <c:pt idx="22">
                <c:v>26.572361751927581</c:v>
              </c:pt>
              <c:pt idx="23">
                <c:v>27.565873408785404</c:v>
              </c:pt>
              <c:pt idx="24">
                <c:v>28.560367661273503</c:v>
              </c:pt>
              <c:pt idx="25">
                <c:v>29.555970719929455</c:v>
              </c:pt>
              <c:pt idx="26">
                <c:v>30.552818142991558</c:v>
              </c:pt>
              <c:pt idx="27">
                <c:v>31.551055377229062</c:v>
              </c:pt>
              <c:pt idx="28">
                <c:v>32.550838329451459</c:v>
              </c:pt>
              <c:pt idx="29">
                <c:v>33.241676623013277</c:v>
              </c:pt>
            </c:numLit>
          </c:xVal>
          <c:yVal>
            <c:numLit>
              <c:formatCode>General</c:formatCode>
              <c:ptCount val="30"/>
              <c:pt idx="0">
                <c:v>2.4289258159167224E-3</c:v>
              </c:pt>
              <c:pt idx="1">
                <c:v>2.6043727591205873E-3</c:v>
              </c:pt>
              <c:pt idx="2">
                <c:v>2.7909845906628123E-3</c:v>
              </c:pt>
              <c:pt idx="3">
                <c:v>2.9893739594974377E-3</c:v>
              </c:pt>
              <c:pt idx="4">
                <c:v>3.2001818853940622E-3</c:v>
              </c:pt>
              <c:pt idx="5">
                <c:v>3.4240788799272735E-3</c:v>
              </c:pt>
              <c:pt idx="6">
                <c:v>3.6618394930983864E-3</c:v>
              </c:pt>
              <c:pt idx="7">
                <c:v>3.9141335585276644E-3</c:v>
              </c:pt>
              <c:pt idx="8">
                <c:v>4.181728195005634E-3</c:v>
              </c:pt>
              <c:pt idx="9">
                <c:v>4.4654250475394362E-3</c:v>
              </c:pt>
              <c:pt idx="10">
                <c:v>4.7660616697429072E-3</c:v>
              </c:pt>
              <c:pt idx="11">
                <c:v>5.0845129684787566E-3</c:v>
              </c:pt>
              <c:pt idx="12">
                <c:v>5.4216927150161328E-3</c:v>
              </c:pt>
              <c:pt idx="13">
                <c:v>5.7785551273322622E-3</c:v>
              </c:pt>
              <c:pt idx="14">
                <c:v>6.1560965285861443E-3</c:v>
              </c:pt>
              <c:pt idx="15">
                <c:v>6.5553570872239637E-3</c:v>
              </c:pt>
              <c:pt idx="16">
                <c:v>6.9774226446464435E-3</c:v>
              </c:pt>
              <c:pt idx="17">
                <c:v>7.4234266368784479E-3</c:v>
              </c:pt>
              <c:pt idx="18">
                <c:v>7.8945521172378037E-3</c:v>
              </c:pt>
              <c:pt idx="19">
                <c:v>8.3920338876039037E-3</c:v>
              </c:pt>
              <c:pt idx="20">
                <c:v>8.9171607465458672E-3</c:v>
              </c:pt>
              <c:pt idx="21">
                <c:v>9.4714693652664696E-3</c:v>
              </c:pt>
              <c:pt idx="22">
                <c:v>1.0056196296420142E-2</c:v>
              </c:pt>
              <c:pt idx="23">
                <c:v>1.0672809158403808E-2</c:v>
              </c:pt>
              <c:pt idx="24">
                <c:v>1.1322840060390603E-2</c:v>
              </c:pt>
              <c:pt idx="25">
                <c:v>1.2007888595456073E-2</c:v>
              </c:pt>
              <c:pt idx="26">
                <c:v>1.272962501840671E-2</c:v>
              </c:pt>
              <c:pt idx="27">
                <c:v>1.3489793623284507E-2</c:v>
              </c:pt>
              <c:pt idx="28">
                <c:v>1.4290216336870146E-2</c:v>
              </c:pt>
              <c:pt idx="29">
                <c:v>1.4866969840016564E-2</c:v>
              </c:pt>
            </c:numLit>
          </c:yVal>
          <c:smooth val="1"/>
          <c:extLst>
            <c:ext xmlns:c16="http://schemas.microsoft.com/office/drawing/2014/chart" uri="{C3380CC4-5D6E-409C-BE32-E72D297353CC}">
              <c16:uniqueId val="{00000058-FDD4-42E4-87E6-BD3964183DBC}"/>
            </c:ext>
          </c:extLst>
        </c:ser>
        <c:ser>
          <c:idx val="64"/>
          <c:order val="64"/>
          <c:tx>
            <c:v>RH=45_Label</c:v>
          </c:tx>
          <c:spPr>
            <a:ln w="3175">
              <a:solidFill>
                <a:srgbClr val="0000FF"/>
              </a:solidFill>
              <a:prstDash val="solid"/>
            </a:ln>
          </c:spPr>
          <c:marker>
            <c:symbol val="none"/>
          </c:marker>
          <c:dLbls>
            <c:dLbl>
              <c:idx val="0"/>
              <c:tx>
                <c:rich>
                  <a:bodyPr rot="-29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45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9-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33.542309960090257</c:v>
              </c:pt>
            </c:numLit>
          </c:xVal>
          <c:yVal>
            <c:numLit>
              <c:formatCode>General</c:formatCode>
              <c:ptCount val="1"/>
              <c:pt idx="0">
                <c:v>1.5124155606683983E-2</c:v>
              </c:pt>
            </c:numLit>
          </c:yVal>
          <c:smooth val="0"/>
          <c:extLst>
            <c:ext xmlns:c16="http://schemas.microsoft.com/office/drawing/2014/chart" uri="{C3380CC4-5D6E-409C-BE32-E72D297353CC}">
              <c16:uniqueId val="{0000005A-FDD4-42E4-87E6-BD3964183DBC}"/>
            </c:ext>
          </c:extLst>
        </c:ser>
        <c:ser>
          <c:idx val="65"/>
          <c:order val="65"/>
          <c:tx>
            <c:v>RH=45_2</c:v>
          </c:tx>
          <c:spPr>
            <a:ln w="3175">
              <a:solidFill>
                <a:srgbClr val="0000FF"/>
              </a:solidFill>
              <a:prstDash val="solid"/>
            </a:ln>
          </c:spPr>
          <c:marker>
            <c:symbol val="none"/>
          </c:marker>
          <c:xVal>
            <c:numLit>
              <c:formatCode>General</c:formatCode>
              <c:ptCount val="17"/>
              <c:pt idx="0">
                <c:v>33.843113269370306</c:v>
              </c:pt>
              <c:pt idx="1">
                <c:v>34.847083943135722</c:v>
              </c:pt>
              <c:pt idx="2">
                <c:v>35.853194864619347</c:v>
              </c:pt>
              <c:pt idx="3">
                <c:v>36.861654133883768</c:v>
              </c:pt>
              <c:pt idx="4">
                <c:v>37.872683946588978</c:v>
              </c:pt>
              <c:pt idx="5">
                <c:v>38.886521420379061</c:v>
              </c:pt>
              <c:pt idx="6">
                <c:v>39.903418320194405</c:v>
              </c:pt>
              <c:pt idx="7">
                <c:v>40.923642892256069</c:v>
              </c:pt>
              <c:pt idx="8">
                <c:v>41.947485589808181</c:v>
              </c:pt>
              <c:pt idx="9">
                <c:v>42.975252742791277</c:v>
              </c:pt>
              <c:pt idx="10">
                <c:v>44.007270646239782</c:v>
              </c:pt>
              <c:pt idx="11">
                <c:v>45.043886785233312</c:v>
              </c:pt>
              <c:pt idx="12">
                <c:v>46.085471148292477</c:v>
              </c:pt>
              <c:pt idx="13">
                <c:v>47.132417637407976</c:v>
              </c:pt>
              <c:pt idx="14">
                <c:v>48.185145583777889</c:v>
              </c:pt>
              <c:pt idx="15">
                <c:v>49.244101379321037</c:v>
              </c:pt>
              <c:pt idx="16">
                <c:v>50.000000000000007</c:v>
              </c:pt>
            </c:numLit>
          </c:xVal>
          <c:yVal>
            <c:numLit>
              <c:formatCode>General</c:formatCode>
              <c:ptCount val="17"/>
              <c:pt idx="0">
                <c:v>1.5385312109042031E-2</c:v>
              </c:pt>
              <c:pt idx="1">
                <c:v>1.6285225952846927E-2</c:v>
              </c:pt>
              <c:pt idx="2">
                <c:v>1.7231985372616151E-2</c:v>
              </c:pt>
              <c:pt idx="3">
                <c:v>1.8227792074351917E-2</c:v>
              </c:pt>
              <c:pt idx="4">
                <c:v>1.9274948795326451E-2</c:v>
              </c:pt>
              <c:pt idx="5">
                <c:v>2.0375864737942648E-2</c:v>
              </c:pt>
              <c:pt idx="6">
                <c:v>2.1533125692636469E-2</c:v>
              </c:pt>
              <c:pt idx="7">
                <c:v>2.274948152478275E-2</c:v>
              </c:pt>
              <c:pt idx="8">
                <c:v>2.4027550915091813E-2</c:v>
              </c:pt>
              <c:pt idx="9">
                <c:v>2.5370233863113451E-2</c:v>
              </c:pt>
              <c:pt idx="10">
                <c:v>2.6780570766508603E-2</c:v>
              </c:pt>
              <c:pt idx="11">
                <c:v>2.8261750799635506E-2</c:v>
              </c:pt>
              <c:pt idx="12">
                <c:v>2.9817120948578829E-2</c:v>
              </c:pt>
              <c:pt idx="13">
                <c:v>3.1450195763913363E-2</c:v>
              </c:pt>
              <c:pt idx="14">
                <c:v>3.3164667898963343E-2</c:v>
              </c:pt>
              <c:pt idx="15">
                <c:v>3.4964419508579071E-2</c:v>
              </c:pt>
              <c:pt idx="16">
                <c:v>3.6296243180437608E-2</c:v>
              </c:pt>
            </c:numLit>
          </c:yVal>
          <c:smooth val="1"/>
          <c:extLst>
            <c:ext xmlns:c16="http://schemas.microsoft.com/office/drawing/2014/chart" uri="{C3380CC4-5D6E-409C-BE32-E72D297353CC}">
              <c16:uniqueId val="{0000005B-FDD4-42E4-87E6-BD3964183DBC}"/>
            </c:ext>
          </c:extLst>
        </c:ser>
        <c:ser>
          <c:idx val="66"/>
          <c:order val="66"/>
          <c:tx>
            <c:v>RH=55_1</c:v>
          </c:tx>
          <c:spPr>
            <a:ln w="3175">
              <a:solidFill>
                <a:srgbClr val="0000FF"/>
              </a:solidFill>
              <a:prstDash val="solid"/>
            </a:ln>
          </c:spPr>
          <c:marker>
            <c:symbol val="none"/>
          </c:marker>
          <c:xVal>
            <c:numLit>
              <c:formatCode>General</c:formatCode>
              <c:ptCount val="28"/>
              <c:pt idx="0">
                <c:v>4.7527883387197933</c:v>
              </c:pt>
              <c:pt idx="1">
                <c:v>5.7408058132072091</c:v>
              </c:pt>
              <c:pt idx="2">
                <c:v>6.7285284551880915</c:v>
              </c:pt>
              <c:pt idx="3">
                <c:v>7.7159735586186047</c:v>
              </c:pt>
              <c:pt idx="4">
                <c:v>8.7031613138615409</c:v>
              </c:pt>
              <c:pt idx="5">
                <c:v>9.690115027717022</c:v>
              </c:pt>
              <c:pt idx="6">
                <c:v>10.676854870952818</c:v>
              </c:pt>
              <c:pt idx="7">
                <c:v>11.663417028454429</c:v>
              </c:pt>
              <c:pt idx="8">
                <c:v>12.649835584689367</c:v>
              </c:pt>
              <c:pt idx="9">
                <c:v>13.636148744660289</c:v>
              </c:pt>
              <c:pt idx="10">
                <c:v>14.622399117900304</c:v>
              </c:pt>
              <c:pt idx="11">
                <c:v>15.608634017172154</c:v>
              </c:pt>
              <c:pt idx="12">
                <c:v>16.59490577265089</c:v>
              </c:pt>
              <c:pt idx="13">
                <c:v>17.581272062434444</c:v>
              </c:pt>
              <c:pt idx="14">
                <c:v>18.567796260297889</c:v>
              </c:pt>
              <c:pt idx="15">
                <c:v>19.554547801686571</c:v>
              </c:pt>
              <c:pt idx="16">
                <c:v>20.541602569030708</c:v>
              </c:pt>
              <c:pt idx="17">
                <c:v>21.529043297560914</c:v>
              </c:pt>
              <c:pt idx="18">
                <c:v>22.516960002911134</c:v>
              </c:pt>
              <c:pt idx="19">
                <c:v>23.50545043191384</c:v>
              </c:pt>
              <c:pt idx="20">
                <c:v>24.494620538123129</c:v>
              </c:pt>
              <c:pt idx="21">
                <c:v>25.484574527064105</c:v>
              </c:pt>
              <c:pt idx="22">
                <c:v>26.475446362765325</c:v>
              </c:pt>
              <c:pt idx="23">
                <c:v>27.467369806450417</c:v>
              </c:pt>
              <c:pt idx="24">
                <c:v>28.460489023324861</c:v>
              </c:pt>
              <c:pt idx="25">
                <c:v>29.454959211633383</c:v>
              </c:pt>
              <c:pt idx="26">
                <c:v>30.450947269402214</c:v>
              </c:pt>
              <c:pt idx="27">
                <c:v>30.690229911761239</c:v>
              </c:pt>
            </c:numLit>
          </c:xVal>
          <c:yVal>
            <c:numLit>
              <c:formatCode>General</c:formatCode>
              <c:ptCount val="28"/>
              <c:pt idx="0">
                <c:v>2.9712656063069056E-3</c:v>
              </c:pt>
              <c:pt idx="1">
                <c:v>3.1860869002144176E-3</c:v>
              </c:pt>
              <c:pt idx="2">
                <c:v>3.414608328091779E-3</c:v>
              </c:pt>
              <c:pt idx="3">
                <c:v>3.6575857658689651E-3</c:v>
              </c:pt>
              <c:pt idx="4">
                <c:v>3.9158106249054629E-3</c:v>
              </c:pt>
              <c:pt idx="5">
                <c:v>4.19011131877251E-3</c:v>
              </c:pt>
              <c:pt idx="6">
                <c:v>4.4814447176932176E-3</c:v>
              </c:pt>
              <c:pt idx="7">
                <c:v>4.7906404835150358E-3</c:v>
              </c:pt>
              <c:pt idx="8">
                <c:v>5.1186486748401082E-3</c:v>
              </c:pt>
              <c:pt idx="9">
                <c:v>5.4664630058504768E-3</c:v>
              </c:pt>
              <c:pt idx="10">
                <c:v>5.8351226941980557E-3</c:v>
              </c:pt>
              <c:pt idx="11">
                <c:v>6.2257144010881621E-3</c:v>
              </c:pt>
              <c:pt idx="12">
                <c:v>6.6393742703356956E-3</c:v>
              </c:pt>
              <c:pt idx="13">
                <c:v>7.0772900737726746E-3</c:v>
              </c:pt>
              <c:pt idx="14">
                <c:v>7.5407034710427414E-3</c:v>
              </c:pt>
              <c:pt idx="15">
                <c:v>8.0309123925323949E-3</c:v>
              </c:pt>
              <c:pt idx="16">
                <c:v>8.5492735549704338E-3</c:v>
              </c:pt>
              <c:pt idx="17">
                <c:v>9.0972051200791226E-3</c:v>
              </c:pt>
              <c:pt idx="18">
                <c:v>9.6761895075946035E-3</c:v>
              </c:pt>
              <c:pt idx="19">
                <c:v>1.0287776374993248E-2</c:v>
              </c:pt>
              <c:pt idx="20">
                <c:v>1.0933585777379171E-2</c:v>
              </c:pt>
              <c:pt idx="21">
                <c:v>1.1615547172345699E-2</c:v>
              </c:pt>
              <c:pt idx="22">
                <c:v>1.2335225784433806E-2</c:v>
              </c:pt>
              <c:pt idx="23">
                <c:v>1.3094476410334279E-2</c:v>
              </c:pt>
              <c:pt idx="24">
                <c:v>1.3895239184208591E-2</c:v>
              </c:pt>
              <c:pt idx="25">
                <c:v>1.4739543900452028E-2</c:v>
              </c:pt>
              <c:pt idx="26">
                <c:v>1.5629514628788175E-2</c:v>
              </c:pt>
              <c:pt idx="27">
                <c:v>1.5850147556233648E-2</c:v>
              </c:pt>
            </c:numLit>
          </c:yVal>
          <c:smooth val="1"/>
          <c:extLst>
            <c:ext xmlns:c16="http://schemas.microsoft.com/office/drawing/2014/chart" uri="{C3380CC4-5D6E-409C-BE32-E72D297353CC}">
              <c16:uniqueId val="{0000005C-FDD4-42E4-87E6-BD3964183DBC}"/>
            </c:ext>
          </c:extLst>
        </c:ser>
        <c:ser>
          <c:idx val="67"/>
          <c:order val="67"/>
          <c:tx>
            <c:v>RH=55_Label</c:v>
          </c:tx>
          <c:spPr>
            <a:ln w="3175">
              <a:solidFill>
                <a:srgbClr val="0000FF"/>
              </a:solidFill>
              <a:prstDash val="solid"/>
            </a:ln>
          </c:spPr>
          <c:marker>
            <c:symbol val="none"/>
          </c:marker>
          <c:dLbls>
            <c:dLbl>
              <c:idx val="0"/>
              <c:tx>
                <c:rich>
                  <a:bodyPr rot="-312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55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5D-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30.989474550516114</c:v>
              </c:pt>
            </c:numLit>
          </c:xVal>
          <c:yVal>
            <c:numLit>
              <c:formatCode>General</c:formatCode>
              <c:ptCount val="1"/>
              <c:pt idx="0">
                <c:v>1.6129865276295948E-2</c:v>
              </c:pt>
            </c:numLit>
          </c:yVal>
          <c:smooth val="0"/>
          <c:extLst>
            <c:ext xmlns:c16="http://schemas.microsoft.com/office/drawing/2014/chart" uri="{C3380CC4-5D6E-409C-BE32-E72D297353CC}">
              <c16:uniqueId val="{0000005E-FDD4-42E4-87E6-BD3964183DBC}"/>
            </c:ext>
          </c:extLst>
        </c:ser>
        <c:ser>
          <c:idx val="68"/>
          <c:order val="68"/>
          <c:tx>
            <c:v>RH=55_2</c:v>
          </c:tx>
          <c:spPr>
            <a:ln w="3175">
              <a:solidFill>
                <a:srgbClr val="0000FF"/>
              </a:solidFill>
              <a:prstDash val="solid"/>
            </a:ln>
          </c:spPr>
          <c:marker>
            <c:symbol val="none"/>
          </c:marker>
          <c:xVal>
            <c:numLit>
              <c:formatCode>General</c:formatCode>
              <c:ptCount val="15"/>
              <c:pt idx="0">
                <c:v>31.288881044490907</c:v>
              </c:pt>
              <c:pt idx="1">
                <c:v>32.28814007408657</c:v>
              </c:pt>
              <c:pt idx="2">
                <c:v>33.289461162964656</c:v>
              </c:pt>
              <c:pt idx="3">
                <c:v>34.293063110456032</c:v>
              </c:pt>
              <c:pt idx="4">
                <c:v>35.299180279992967</c:v>
              </c:pt>
              <c:pt idx="5">
                <c:v>36.308063555400999</c:v>
              </c:pt>
              <c:pt idx="6">
                <c:v>37.319981362124537</c:v>
              </c:pt>
              <c:pt idx="7">
                <c:v>38.335220759151703</c:v>
              </c:pt>
              <c:pt idx="8">
                <c:v>39.354088608020184</c:v>
              </c:pt>
              <c:pt idx="9">
                <c:v>40.376908784565998</c:v>
              </c:pt>
              <c:pt idx="10">
                <c:v>41.404035377551232</c:v>
              </c:pt>
              <c:pt idx="11">
                <c:v>42.435843506013669</c:v>
              </c:pt>
              <c:pt idx="12">
                <c:v>43.472732904478228</c:v>
              </c:pt>
              <c:pt idx="13">
                <c:v>44.515130408086179</c:v>
              </c:pt>
              <c:pt idx="14">
                <c:v>44.483774059522453</c:v>
              </c:pt>
            </c:numLit>
          </c:xVal>
          <c:yVal>
            <c:numLit>
              <c:formatCode>General</c:formatCode>
              <c:ptCount val="15"/>
              <c:pt idx="0">
                <c:v>1.6414004228901657E-2</c:v>
              </c:pt>
              <c:pt idx="1">
                <c:v>1.7393885676520521E-2</c:v>
              </c:pt>
              <c:pt idx="2">
                <c:v>1.8426024368464747E-2</c:v>
              </c:pt>
              <c:pt idx="3">
                <c:v>1.9512955389155106E-2</c:v>
              </c:pt>
              <c:pt idx="4">
                <c:v>2.0657335456802466E-2</c:v>
              </c:pt>
              <c:pt idx="5">
                <c:v>2.18619498344035E-2</c:v>
              </c:pt>
              <c:pt idx="6">
                <c:v>2.3129719762606075E-2</c:v>
              </c:pt>
              <c:pt idx="7">
                <c:v>2.4463710462355535E-2</c:v>
              </c:pt>
              <c:pt idx="8">
                <c:v>2.586713976016505E-2</c:v>
              </c:pt>
              <c:pt idx="9">
                <c:v>2.7343626022832548E-2</c:v>
              </c:pt>
              <c:pt idx="10">
                <c:v>2.8896558756553385E-2</c:v>
              </c:pt>
              <c:pt idx="11">
                <c:v>3.0529632437545379E-2</c:v>
              </c:pt>
              <c:pt idx="12">
                <c:v>3.2246779263973561E-2</c:v>
              </c:pt>
              <c:pt idx="13">
                <c:v>3.4052139020724105E-2</c:v>
              </c:pt>
              <c:pt idx="14">
                <c:v>3.4000000000000002E-2</c:v>
              </c:pt>
            </c:numLit>
          </c:yVal>
          <c:smooth val="1"/>
          <c:extLst>
            <c:ext xmlns:c16="http://schemas.microsoft.com/office/drawing/2014/chart" uri="{C3380CC4-5D6E-409C-BE32-E72D297353CC}">
              <c16:uniqueId val="{0000005F-FDD4-42E4-87E6-BD3964183DBC}"/>
            </c:ext>
          </c:extLst>
        </c:ser>
        <c:ser>
          <c:idx val="69"/>
          <c:order val="69"/>
          <c:tx>
            <c:v>RH=65_1</c:v>
          </c:tx>
          <c:spPr>
            <a:ln w="3175">
              <a:solidFill>
                <a:srgbClr val="0000FF"/>
              </a:solidFill>
              <a:prstDash val="solid"/>
            </a:ln>
          </c:spPr>
          <c:marker>
            <c:symbol val="none"/>
          </c:marker>
          <c:xVal>
            <c:numLit>
              <c:formatCode>General</c:formatCode>
              <c:ptCount val="26"/>
              <c:pt idx="0">
                <c:v>4.7075867840324177</c:v>
              </c:pt>
              <c:pt idx="1">
                <c:v>5.693394036287784</c:v>
              </c:pt>
              <c:pt idx="2">
                <c:v>6.6788494316452747</c:v>
              </c:pt>
              <c:pt idx="3">
                <c:v>7.6639731104373956</c:v>
              </c:pt>
              <c:pt idx="4">
                <c:v>8.6487886204232431</c:v>
              </c:pt>
              <c:pt idx="5">
                <c:v>9.633323177711917</c:v>
              </c:pt>
              <c:pt idx="6">
                <c:v>10.61760025865436</c:v>
              </c:pt>
              <c:pt idx="7">
                <c:v>11.601662289364722</c:v>
              </c:pt>
              <c:pt idx="8">
                <c:v>12.585549188127688</c:v>
              </c:pt>
              <c:pt idx="9">
                <c:v>13.569305736538357</c:v>
              </c:pt>
              <c:pt idx="10">
                <c:v>14.5529819188678</c:v>
              </c:pt>
              <c:pt idx="11">
                <c:v>15.536633279684853</c:v>
              </c:pt>
              <c:pt idx="12">
                <c:v>16.520321300791181</c:v>
              </c:pt>
              <c:pt idx="13">
                <c:v>17.504113798620708</c:v>
              </c:pt>
              <c:pt idx="14">
                <c:v>18.488085343358691</c:v>
              </c:pt>
              <c:pt idx="15">
                <c:v>19.472317701151294</c:v>
              </c:pt>
              <c:pt idx="16">
                <c:v>20.456900300904735</c:v>
              </c:pt>
              <c:pt idx="17">
                <c:v>21.441930727315192</c:v>
              </c:pt>
              <c:pt idx="18">
                <c:v>22.427515241928276</c:v>
              </c:pt>
              <c:pt idx="19">
                <c:v>23.413769334201806</c:v>
              </c:pt>
              <c:pt idx="20">
                <c:v>24.400818304739552</c:v>
              </c:pt>
              <c:pt idx="21">
                <c:v>25.388785440831832</c:v>
              </c:pt>
              <c:pt idx="22">
                <c:v>26.37782951900634</c:v>
              </c:pt>
              <c:pt idx="23">
                <c:v>27.36810920265324</c:v>
              </c:pt>
              <c:pt idx="24">
                <c:v>28.35979568640477</c:v>
              </c:pt>
              <c:pt idx="25">
                <c:v>28.558317792615352</c:v>
              </c:pt>
            </c:numLit>
          </c:xVal>
          <c:yVal>
            <c:numLit>
              <c:formatCode>General</c:formatCode>
              <c:ptCount val="26"/>
              <c:pt idx="0">
                <c:v>3.5145483305064288E-3</c:v>
              </c:pt>
              <c:pt idx="1">
                <c:v>3.7688856243217176E-3</c:v>
              </c:pt>
              <c:pt idx="2">
                <c:v>4.0394782666273339E-3</c:v>
              </c:pt>
              <c:pt idx="3">
                <c:v>4.3272279941113561E-3</c:v>
              </c:pt>
              <c:pt idx="4">
                <c:v>4.6330795679808117E-3</c:v>
              </c:pt>
              <c:pt idx="5">
                <c:v>4.9580226239490759E-3</c:v>
              </c:pt>
              <c:pt idx="6">
                <c:v>5.3032001625822091E-3</c:v>
              </c:pt>
              <c:pt idx="7">
                <c:v>5.669605785216322E-3</c:v>
              </c:pt>
              <c:pt idx="8">
                <c:v>6.0583771686071762E-3</c:v>
              </c:pt>
              <c:pt idx="9">
                <c:v>6.4707053321746109E-3</c:v>
              </c:pt>
              <c:pt idx="10">
                <c:v>6.907837014116615E-3</c:v>
              </c:pt>
              <c:pt idx="11">
                <c:v>7.3710771764237074E-3</c:v>
              </c:pt>
              <c:pt idx="12">
                <c:v>7.861791648811841E-3</c:v>
              </c:pt>
              <c:pt idx="13">
                <c:v>8.3814099225061629E-3</c:v>
              </c:pt>
              <c:pt idx="14">
                <c:v>8.9314281058126502E-3</c:v>
              </c:pt>
              <c:pt idx="15">
                <c:v>9.513412054512508E-3</c:v>
              </c:pt>
              <c:pt idx="16">
                <c:v>1.0129000691320653E-2</c:v>
              </c:pt>
              <c:pt idx="17">
                <c:v>1.0779909529971536E-2</c:v>
              </c:pt>
              <c:pt idx="18">
                <c:v>1.1467934420950916E-2</c:v>
              </c:pt>
              <c:pt idx="19">
                <c:v>1.2194955537489258E-2</c:v>
              </c:pt>
              <c:pt idx="20">
                <c:v>1.2962941622193738E-2</c:v>
              </c:pt>
              <c:pt idx="21">
                <c:v>1.3774234913153584E-2</c:v>
              </c:pt>
              <c:pt idx="22">
                <c:v>1.4630750441318861E-2</c:v>
              </c:pt>
              <c:pt idx="23">
                <c:v>1.5534754206521045E-2</c:v>
              </c:pt>
              <c:pt idx="24">
                <c:v>1.6488621082355326E-2</c:v>
              </c:pt>
              <c:pt idx="25">
                <c:v>1.6685595032799646E-2</c:v>
              </c:pt>
            </c:numLit>
          </c:yVal>
          <c:smooth val="1"/>
          <c:extLst>
            <c:ext xmlns:c16="http://schemas.microsoft.com/office/drawing/2014/chart" uri="{C3380CC4-5D6E-409C-BE32-E72D297353CC}">
              <c16:uniqueId val="{00000060-FDD4-42E4-87E6-BD3964183DBC}"/>
            </c:ext>
          </c:extLst>
        </c:ser>
        <c:ser>
          <c:idx val="70"/>
          <c:order val="70"/>
          <c:tx>
            <c:v>RH=65_Label</c:v>
          </c:tx>
          <c:spPr>
            <a:ln w="3175">
              <a:solidFill>
                <a:srgbClr val="0000FF"/>
              </a:solidFill>
              <a:prstDash val="solid"/>
            </a:ln>
          </c:spPr>
          <c:marker>
            <c:symbol val="none"/>
          </c:marker>
          <c:dLbls>
            <c:dLbl>
              <c:idx val="0"/>
              <c:tx>
                <c:rich>
                  <a:bodyPr rot="-324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65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1-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28.826426268543489</c:v>
              </c:pt>
            </c:numLit>
          </c:xVal>
          <c:yVal>
            <c:numLit>
              <c:formatCode>General</c:formatCode>
              <c:ptCount val="1"/>
              <c:pt idx="0">
                <c:v>1.69548673550181E-2</c:v>
              </c:pt>
            </c:numLit>
          </c:yVal>
          <c:smooth val="0"/>
          <c:extLst>
            <c:ext xmlns:c16="http://schemas.microsoft.com/office/drawing/2014/chart" uri="{C3380CC4-5D6E-409C-BE32-E72D297353CC}">
              <c16:uniqueId val="{00000062-FDD4-42E4-87E6-BD3964183DBC}"/>
            </c:ext>
          </c:extLst>
        </c:ser>
        <c:ser>
          <c:idx val="71"/>
          <c:order val="71"/>
          <c:tx>
            <c:v>RH=65_2</c:v>
          </c:tx>
          <c:spPr>
            <a:ln w="3175">
              <a:solidFill>
                <a:srgbClr val="0000FF"/>
              </a:solidFill>
              <a:prstDash val="solid"/>
            </a:ln>
          </c:spPr>
          <c:marker>
            <c:symbol val="none"/>
          </c:marker>
          <c:xVal>
            <c:numLit>
              <c:formatCode>General</c:formatCode>
              <c:ptCount val="14"/>
              <c:pt idx="0">
                <c:v>29.154281293235872</c:v>
              </c:pt>
              <c:pt idx="1">
                <c:v>30.148974471149877</c:v>
              </c:pt>
              <c:pt idx="2">
                <c:v>31.14562735244127</c:v>
              </c:pt>
              <c:pt idx="3">
                <c:v>32.144466372583011</c:v>
              </c:pt>
              <c:pt idx="4">
                <c:v>33.145734775067154</c:v>
              </c:pt>
              <c:pt idx="5">
                <c:v>34.149693684929971</c:v>
              </c:pt>
              <c:pt idx="6">
                <c:v>35.156623258311356</c:v>
              </c:pt>
              <c:pt idx="7">
                <c:v>36.166823915077146</c:v>
              </c:pt>
              <c:pt idx="8">
                <c:v>37.180617662312947</c:v>
              </c:pt>
              <c:pt idx="9">
                <c:v>38.198349517373778</c:v>
              </c:pt>
              <c:pt idx="10">
                <c:v>39.220389040157556</c:v>
              </c:pt>
              <c:pt idx="11">
                <c:v>40.247127353684583</c:v>
              </c:pt>
              <c:pt idx="12">
                <c:v>41.278992238745232</c:v>
              </c:pt>
              <c:pt idx="13">
                <c:v>41.082522687554388</c:v>
              </c:pt>
            </c:numLit>
          </c:xVal>
          <c:yVal>
            <c:numLit>
              <c:formatCode>General</c:formatCode>
              <c:ptCount val="14"/>
              <c:pt idx="0">
                <c:v>1.7289285079439821E-2</c:v>
              </c:pt>
              <c:pt idx="1">
                <c:v>1.8339260809342089E-2</c:v>
              </c:pt>
              <c:pt idx="2">
                <c:v>1.9446380817797437E-2</c:v>
              </c:pt>
              <c:pt idx="3">
                <c:v>2.0613491784867648E-2</c:v>
              </c:pt>
              <c:pt idx="4">
                <c:v>2.1843582114776178E-2</c:v>
              </c:pt>
              <c:pt idx="5">
                <c:v>2.3139790356552118E-2</c:v>
              </c:pt>
              <c:pt idx="6">
                <c:v>2.450541428664121E-2</c:v>
              </c:pt>
              <c:pt idx="7">
                <c:v>2.5943920716535944E-2</c:v>
              </c:pt>
              <c:pt idx="8">
                <c:v>2.7458956095239195E-2</c:v>
              </c:pt>
              <c:pt idx="9">
                <c:v>2.9054357983965853E-2</c:v>
              </c:pt>
              <c:pt idx="10">
                <c:v>3.0734167489009444E-2</c:v>
              </c:pt>
              <c:pt idx="11">
                <c:v>3.2502915041684302E-2</c:v>
              </c:pt>
              <c:pt idx="12">
                <c:v>3.4364923145966897E-2</c:v>
              </c:pt>
              <c:pt idx="13">
                <c:v>3.4000000000000002E-2</c:v>
              </c:pt>
            </c:numLit>
          </c:yVal>
          <c:smooth val="1"/>
          <c:extLst>
            <c:ext xmlns:c16="http://schemas.microsoft.com/office/drawing/2014/chart" uri="{C3380CC4-5D6E-409C-BE32-E72D297353CC}">
              <c16:uniqueId val="{00000063-FDD4-42E4-87E6-BD3964183DBC}"/>
            </c:ext>
          </c:extLst>
        </c:ser>
        <c:ser>
          <c:idx val="72"/>
          <c:order val="72"/>
          <c:tx>
            <c:v>RH=75_1</c:v>
          </c:tx>
          <c:spPr>
            <a:ln w="3175">
              <a:solidFill>
                <a:srgbClr val="0000FF"/>
              </a:solidFill>
              <a:prstDash val="solid"/>
            </a:ln>
          </c:spPr>
          <c:marker>
            <c:symbol val="none"/>
          </c:marker>
          <c:xVal>
            <c:numLit>
              <c:formatCode>General</c:formatCode>
              <c:ptCount val="24"/>
              <c:pt idx="0">
                <c:v>4.6623065717223273</c:v>
              </c:pt>
              <c:pt idx="1">
                <c:v>5.6458937795014803</c:v>
              </c:pt>
              <c:pt idx="2">
                <c:v>6.629071034120396</c:v>
              </c:pt>
              <c:pt idx="3">
                <c:v>7.6118612271134749</c:v>
              </c:pt>
              <c:pt idx="4">
                <c:v>8.5942911631238914</c:v>
              </c:pt>
              <c:pt idx="5">
                <c:v>9.5763918619241188</c:v>
              </c:pt>
              <c:pt idx="6">
                <c:v>10.558189988711014</c:v>
              </c:pt>
              <c:pt idx="7">
                <c:v>11.539734100858675</c:v>
              </c:pt>
              <c:pt idx="8">
                <c:v>12.521069831738515</c:v>
              </c:pt>
              <c:pt idx="9">
                <c:v>13.5022484178998</c:v>
              </c:pt>
              <c:pt idx="10">
                <c:v>14.48332709486384</c:v>
              </c:pt>
              <c:pt idx="11">
                <c:v>15.464369514996749</c:v>
              </c:pt>
              <c:pt idx="12">
                <c:v>16.4454461888397</c:v>
              </c:pt>
              <c:pt idx="13">
                <c:v>17.426634951405386</c:v>
              </c:pt>
              <c:pt idx="14">
                <c:v>18.40802145509323</c:v>
              </c:pt>
              <c:pt idx="15">
                <c:v>19.389699691036181</c:v>
              </c:pt>
              <c:pt idx="16">
                <c:v>20.371772540870129</c:v>
              </c:pt>
              <c:pt idx="17">
                <c:v>21.354352361114962</c:v>
              </c:pt>
              <c:pt idx="18">
                <c:v>22.33756160257677</c:v>
              </c:pt>
              <c:pt idx="19">
                <c:v>23.321533467426086</c:v>
              </c:pt>
              <c:pt idx="20">
                <c:v>24.306412606880112</c:v>
              </c:pt>
              <c:pt idx="21">
                <c:v>25.29234140795505</c:v>
              </c:pt>
              <c:pt idx="22">
                <c:v>26.279503577504428</c:v>
              </c:pt>
              <c:pt idx="23">
                <c:v>26.714292480798427</c:v>
              </c:pt>
            </c:numLit>
          </c:xVal>
          <c:yVal>
            <c:numLit>
              <c:formatCode>General</c:formatCode>
              <c:ptCount val="24"/>
              <c:pt idx="0">
                <c:v>4.0587764497889908E-3</c:v>
              </c:pt>
              <c:pt idx="1">
                <c:v>4.3527719675160188E-3</c:v>
              </c:pt>
              <c:pt idx="2">
                <c:v>4.6655981454723928E-3</c:v>
              </c:pt>
              <c:pt idx="3">
                <c:v>4.998305242240709E-3</c:v>
              </c:pt>
              <c:pt idx="4">
                <c:v>5.3519943600493667E-3</c:v>
              </c:pt>
              <c:pt idx="5">
                <c:v>5.727819716456117E-3</c:v>
              </c:pt>
              <c:pt idx="6">
                <c:v>6.1271143004786397E-3</c:v>
              </c:pt>
              <c:pt idx="7">
                <c:v>6.5510398208286965E-3</c:v>
              </c:pt>
              <c:pt idx="8">
                <c:v>7.0009263189632839E-3</c:v>
              </c:pt>
              <c:pt idx="9">
                <c:v>7.4781674371684767E-3</c:v>
              </c:pt>
              <c:pt idx="10">
                <c:v>7.9842233881256032E-3</c:v>
              </c:pt>
              <c:pt idx="11">
                <c:v>8.5206240973003389E-3</c:v>
              </c:pt>
              <c:pt idx="12">
                <c:v>9.0889725322134893E-3</c:v>
              </c:pt>
              <c:pt idx="13">
                <c:v>9.6909482339747766E-3</c:v>
              </c:pt>
              <c:pt idx="14">
                <c:v>1.032831106791901E-2</c:v>
              </c:pt>
              <c:pt idx="15">
                <c:v>1.1002905211784977E-2</c:v>
              </c:pt>
              <c:pt idx="16">
                <c:v>1.1716663401643478E-2</c:v>
              </c:pt>
              <c:pt idx="17">
                <c:v>1.2471611457725566E-2</c:v>
              </c:pt>
              <c:pt idx="18">
                <c:v>1.3269873114451802E-2</c:v>
              </c:pt>
              <c:pt idx="19">
                <c:v>1.411367518133497E-2</c:v>
              </c:pt>
              <c:pt idx="20">
                <c:v>1.5005353064056037E-2</c:v>
              </c:pt>
              <c:pt idx="21">
                <c:v>1.5947682428253101E-2</c:v>
              </c:pt>
              <c:pt idx="22">
                <c:v>1.6942950000713969E-2</c:v>
              </c:pt>
              <c:pt idx="23">
                <c:v>1.7398330004498919E-2</c:v>
              </c:pt>
            </c:numLit>
          </c:yVal>
          <c:smooth val="1"/>
          <c:extLst>
            <c:ext xmlns:c16="http://schemas.microsoft.com/office/drawing/2014/chart" uri="{C3380CC4-5D6E-409C-BE32-E72D297353CC}">
              <c16:uniqueId val="{00000064-FDD4-42E4-87E6-BD3964183DBC}"/>
            </c:ext>
          </c:extLst>
        </c:ser>
        <c:ser>
          <c:idx val="73"/>
          <c:order val="73"/>
          <c:tx>
            <c:v>RH=75_Label</c:v>
          </c:tx>
          <c:spPr>
            <a:ln w="3175">
              <a:solidFill>
                <a:srgbClr val="0000FF"/>
              </a:solidFill>
              <a:prstDash val="solid"/>
            </a:ln>
          </c:spPr>
          <c:marker>
            <c:symbol val="none"/>
          </c:marker>
          <c:dLbls>
            <c:dLbl>
              <c:idx val="0"/>
              <c:tx>
                <c:rich>
                  <a:bodyPr rot="-330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75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5-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26.971348751559898</c:v>
              </c:pt>
            </c:numLit>
          </c:xVal>
          <c:yVal>
            <c:numLit>
              <c:formatCode>General</c:formatCode>
              <c:ptCount val="1"/>
              <c:pt idx="0">
                <c:v>1.7672577171771574E-2</c:v>
              </c:pt>
            </c:numLit>
          </c:yVal>
          <c:smooth val="0"/>
          <c:extLst>
            <c:ext xmlns:c16="http://schemas.microsoft.com/office/drawing/2014/chart" uri="{C3380CC4-5D6E-409C-BE32-E72D297353CC}">
              <c16:uniqueId val="{00000066-FDD4-42E4-87E6-BD3964183DBC}"/>
            </c:ext>
          </c:extLst>
        </c:ser>
        <c:ser>
          <c:idx val="74"/>
          <c:order val="74"/>
          <c:tx>
            <c:v>RH=75_2</c:v>
          </c:tx>
          <c:spPr>
            <a:ln w="3175">
              <a:solidFill>
                <a:srgbClr val="0000FF"/>
              </a:solidFill>
              <a:prstDash val="solid"/>
            </a:ln>
          </c:spPr>
          <c:marker>
            <c:symbol val="none"/>
          </c:marker>
          <c:xVal>
            <c:numLit>
              <c:formatCode>General</c:formatCode>
              <c:ptCount val="13"/>
              <c:pt idx="0">
                <c:v>27.307658238247463</c:v>
              </c:pt>
              <c:pt idx="1">
                <c:v>28.297922010597887</c:v>
              </c:pt>
              <c:pt idx="2">
                <c:v>29.290024378160101</c:v>
              </c:pt>
              <c:pt idx="3">
                <c:v>30.284196891370367</c:v>
              </c:pt>
              <c:pt idx="4">
                <c:v>31.280688957760731</c:v>
              </c:pt>
              <c:pt idx="5">
                <c:v>32.279769020620691</c:v>
              </c:pt>
              <c:pt idx="6">
                <c:v>33.281725824114545</c:v>
              </c:pt>
              <c:pt idx="7">
                <c:v>34.286869773121346</c:v>
              </c:pt>
              <c:pt idx="8">
                <c:v>35.295534397012268</c:v>
              </c:pt>
              <c:pt idx="9">
                <c:v>36.3080779276481</c:v>
              </c:pt>
              <c:pt idx="10">
                <c:v>37.324885003084674</c:v>
              </c:pt>
              <c:pt idx="11">
                <c:v>38.346368509836374</c:v>
              </c:pt>
              <c:pt idx="12">
                <c:v>38.22352920257061</c:v>
              </c:pt>
            </c:numLit>
          </c:xVal>
          <c:yVal>
            <c:numLit>
              <c:formatCode>General</c:formatCode>
              <c:ptCount val="13"/>
              <c:pt idx="0">
                <c:v>1.8037091200106173E-2</c:v>
              </c:pt>
              <c:pt idx="1">
                <c:v>1.9148876952991056E-2</c:v>
              </c:pt>
              <c:pt idx="2">
                <c:v>2.0322243292255012E-2</c:v>
              </c:pt>
              <c:pt idx="3">
                <c:v>2.1560328685217813E-2</c:v>
              </c:pt>
              <c:pt idx="4">
                <c:v>2.2866432828409361E-2</c:v>
              </c:pt>
              <c:pt idx="5">
                <c:v>2.4244026591841397E-2</c:v>
              </c:pt>
              <c:pt idx="6">
                <c:v>2.5696762771875013E-2</c:v>
              </c:pt>
              <c:pt idx="7">
                <c:v>2.7228487732157729E-2</c:v>
              </c:pt>
              <c:pt idx="8">
                <c:v>2.8843254020922502E-2</c:v>
              </c:pt>
              <c:pt idx="9">
                <c:v>3.0545334062874491E-2</c:v>
              </c:pt>
              <c:pt idx="10">
                <c:v>3.2339235035100056E-2</c:v>
              </c:pt>
              <c:pt idx="11">
                <c:v>3.4229715049084494E-2</c:v>
              </c:pt>
              <c:pt idx="12">
                <c:v>3.4000000000000002E-2</c:v>
              </c:pt>
            </c:numLit>
          </c:yVal>
          <c:smooth val="1"/>
          <c:extLst>
            <c:ext xmlns:c16="http://schemas.microsoft.com/office/drawing/2014/chart" uri="{C3380CC4-5D6E-409C-BE32-E72D297353CC}">
              <c16:uniqueId val="{00000067-FDD4-42E4-87E6-BD3964183DBC}"/>
            </c:ext>
          </c:extLst>
        </c:ser>
        <c:ser>
          <c:idx val="75"/>
          <c:order val="75"/>
          <c:tx>
            <c:v>RH=85_1</c:v>
          </c:tx>
          <c:spPr>
            <a:ln w="3175">
              <a:solidFill>
                <a:srgbClr val="0000FF"/>
              </a:solidFill>
              <a:prstDash val="solid"/>
            </a:ln>
          </c:spPr>
          <c:marker>
            <c:symbol val="none"/>
          </c:marker>
          <c:xVal>
            <c:numLit>
              <c:formatCode>General</c:formatCode>
              <c:ptCount val="22"/>
              <c:pt idx="0">
                <c:v>4.6169474962962767</c:v>
              </c:pt>
              <c:pt idx="1">
                <c:v>5.5983047949352542</c:v>
              </c:pt>
              <c:pt idx="2">
                <c:v>6.5791929641451805</c:v>
              </c:pt>
              <c:pt idx="3">
                <c:v>7.5596375500601978</c:v>
              </c:pt>
              <c:pt idx="4">
                <c:v>8.5396685120445444</c:v>
              </c:pt>
              <c:pt idx="5">
                <c:v>9.5193205659853692</c:v>
              </c:pt>
              <c:pt idx="6">
                <c:v>10.498623446963785</c:v>
              </c:pt>
              <c:pt idx="7">
                <c:v>11.477631731162283</c:v>
              </c:pt>
              <c:pt idx="8">
                <c:v>12.456396645443721</c:v>
              </c:pt>
              <c:pt idx="9">
                <c:v>13.434975756413518</c:v>
              </c:pt>
              <c:pt idx="10">
                <c:v>14.413433423660246</c:v>
              </c:pt>
              <c:pt idx="11">
                <c:v>15.391841279166217</c:v>
              </c:pt>
              <c:pt idx="12">
                <c:v>16.37027873463445</c:v>
              </c:pt>
              <c:pt idx="13">
                <c:v>17.348833518650352</c:v>
              </c:pt>
              <c:pt idx="14">
                <c:v>18.327602245787897</c:v>
              </c:pt>
              <c:pt idx="15">
                <c:v>19.306691019983756</c:v>
              </c:pt>
              <c:pt idx="16">
                <c:v>20.286216074740807</c:v>
              </c:pt>
              <c:pt idx="17">
                <c:v>21.266304452988376</c:v>
              </c:pt>
              <c:pt idx="18">
                <c:v>22.247094729722747</c:v>
              </c:pt>
              <c:pt idx="19">
                <c:v>23.228737780882987</c:v>
              </c:pt>
              <c:pt idx="20">
                <c:v>24.211397602286706</c:v>
              </c:pt>
              <c:pt idx="21">
                <c:v>25.096792770011287</c:v>
              </c:pt>
            </c:numLit>
          </c:xVal>
          <c:yVal>
            <c:numLit>
              <c:formatCode>General</c:formatCode>
              <c:ptCount val="22"/>
              <c:pt idx="0">
                <c:v>4.6039524340017379E-3</c:v>
              </c:pt>
              <c:pt idx="1">
                <c:v>4.9377489772132778E-3</c:v>
              </c:pt>
              <c:pt idx="2">
                <c:v>5.2929717188040567E-3</c:v>
              </c:pt>
              <c:pt idx="3">
                <c:v>5.6708221280010393E-3</c:v>
              </c:pt>
              <c:pt idx="4">
                <c:v>6.0725606724782053E-3</c:v>
              </c:pt>
              <c:pt idx="5">
                <c:v>6.4995095513268536E-3</c:v>
              </c:pt>
              <c:pt idx="6">
                <c:v>6.9531956486687616E-3</c:v>
              </c:pt>
              <c:pt idx="7">
                <c:v>7.4349530058112978E-3</c:v>
              </c:pt>
              <c:pt idx="8">
                <c:v>7.9463088445744789E-3</c:v>
              </c:pt>
              <c:pt idx="9">
                <c:v>8.4888648304659586E-3</c:v>
              </c:pt>
              <c:pt idx="10">
                <c:v>9.06430070349914E-3</c:v>
              </c:pt>
              <c:pt idx="11">
                <c:v>9.6743781334406344E-3</c:v>
              </c:pt>
              <c:pt idx="12">
                <c:v>1.0320944818470866E-2</c:v>
              </c:pt>
              <c:pt idx="13">
                <c:v>1.1005938848080411E-2</c:v>
              </c:pt>
              <c:pt idx="14">
                <c:v>1.1731393353058893E-2</c:v>
              </c:pt>
              <c:pt idx="15">
                <c:v>1.2499441467676403E-2</c:v>
              </c:pt>
              <c:pt idx="16">
                <c:v>1.3312321631641564E-2</c:v>
              </c:pt>
              <c:pt idx="17">
                <c:v>1.4172383262167699E-2</c:v>
              </c:pt>
              <c:pt idx="18">
                <c:v>1.5082092829528373E-2</c:v>
              </c:pt>
              <c:pt idx="19">
                <c:v>1.6044040372864291E-2</c:v>
              </c:pt>
              <c:pt idx="20">
                <c:v>1.7060946496765018E-2</c:v>
              </c:pt>
              <c:pt idx="21">
                <c:v>1.8025843781926617E-2</c:v>
              </c:pt>
            </c:numLit>
          </c:yVal>
          <c:smooth val="1"/>
          <c:extLst>
            <c:ext xmlns:c16="http://schemas.microsoft.com/office/drawing/2014/chart" uri="{C3380CC4-5D6E-409C-BE32-E72D297353CC}">
              <c16:uniqueId val="{00000068-FDD4-42E4-87E6-BD3964183DBC}"/>
            </c:ext>
          </c:extLst>
        </c:ser>
        <c:ser>
          <c:idx val="76"/>
          <c:order val="76"/>
          <c:tx>
            <c:v>RH=85_Label</c:v>
          </c:tx>
          <c:spPr>
            <a:ln w="3175">
              <a:solidFill>
                <a:srgbClr val="0000FF"/>
              </a:solidFill>
              <a:prstDash val="solid"/>
            </a:ln>
          </c:spPr>
          <c:marker>
            <c:symbol val="none"/>
          </c:marker>
          <c:dLbls>
            <c:dLbl>
              <c:idx val="0"/>
              <c:tx>
                <c:rich>
                  <a:bodyPr rot="-342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85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25.352773263547515</c:v>
              </c:pt>
            </c:numLit>
          </c:xVal>
          <c:yVal>
            <c:numLit>
              <c:formatCode>General</c:formatCode>
              <c:ptCount val="1"/>
              <c:pt idx="0">
                <c:v>1.8313625263206273E-2</c:v>
              </c:pt>
            </c:numLit>
          </c:yVal>
          <c:smooth val="0"/>
          <c:extLst>
            <c:ext xmlns:c16="http://schemas.microsoft.com/office/drawing/2014/chart" uri="{C3380CC4-5D6E-409C-BE32-E72D297353CC}">
              <c16:uniqueId val="{0000006A-FDD4-42E4-87E6-BD3964183DBC}"/>
            </c:ext>
          </c:extLst>
        </c:ser>
        <c:ser>
          <c:idx val="77"/>
          <c:order val="77"/>
          <c:tx>
            <c:v>RH=85_2</c:v>
          </c:tx>
          <c:spPr>
            <a:ln w="3175">
              <a:solidFill>
                <a:srgbClr val="0000FF"/>
              </a:solidFill>
              <a:prstDash val="solid"/>
            </a:ln>
          </c:spPr>
          <c:marker>
            <c:symbol val="none"/>
          </c:marker>
          <c:xVal>
            <c:numLit>
              <c:formatCode>General</c:formatCode>
              <c:ptCount val="13"/>
              <c:pt idx="0">
                <c:v>25.6876621875757</c:v>
              </c:pt>
              <c:pt idx="1">
                <c:v>26.673658098131735</c:v>
              </c:pt>
              <c:pt idx="2">
                <c:v>27.661360715570094</c:v>
              </c:pt>
              <c:pt idx="3">
                <c:v>28.651004900924384</c:v>
              </c:pt>
              <c:pt idx="4">
                <c:v>29.642844270739275</c:v>
              </c:pt>
              <c:pt idx="5">
                <c:v>30.637152470911296</c:v>
              </c:pt>
              <c:pt idx="6">
                <c:v>31.634224546804546</c:v>
              </c:pt>
              <c:pt idx="7">
                <c:v>32.634378419120495</c:v>
              </c:pt>
              <c:pt idx="8">
                <c:v>33.637956476119065</c:v>
              </c:pt>
              <c:pt idx="9">
                <c:v>34.645327294052166</c:v>
              </c:pt>
              <c:pt idx="10">
                <c:v>35.656887499102659</c:v>
              </c:pt>
              <c:pt idx="11">
                <c:v>36.673063785745285</c:v>
              </c:pt>
              <c:pt idx="12">
                <c:v>35.768432905416319</c:v>
              </c:pt>
            </c:numLit>
          </c:xVal>
          <c:yVal>
            <c:numLit>
              <c:formatCode>General</c:formatCode>
              <c:ptCount val="13"/>
              <c:pt idx="0">
                <c:v>1.8696221443579193E-2</c:v>
              </c:pt>
              <c:pt idx="1">
                <c:v>1.9863798166773625E-2</c:v>
              </c:pt>
              <c:pt idx="2">
                <c:v>2.1097052266478809E-2</c:v>
              </c:pt>
              <c:pt idx="3">
                <c:v>2.239939862759165E-2</c:v>
              </c:pt>
              <c:pt idx="4">
                <c:v>2.377443241346253E-2</c:v>
              </c:pt>
              <c:pt idx="5">
                <c:v>2.5225940548190579E-2</c:v>
              </c:pt>
              <c:pt idx="6">
                <c:v>2.6757914160203695E-2</c:v>
              </c:pt>
              <c:pt idx="7">
                <c:v>2.8374562084222253E-2</c:v>
              </c:pt>
              <c:pt idx="8">
                <c:v>3.008032552980296E-2</c:v>
              </c:pt>
              <c:pt idx="9">
                <c:v>3.1879894037208895E-2</c:v>
              </c:pt>
              <c:pt idx="10">
                <c:v>3.3778222855544576E-2</c:v>
              </c:pt>
              <c:pt idx="11">
                <c:v>3.5780551894204121E-2</c:v>
              </c:pt>
              <c:pt idx="12">
                <c:v>3.4000000000000002E-2</c:v>
              </c:pt>
            </c:numLit>
          </c:yVal>
          <c:smooth val="1"/>
          <c:extLst>
            <c:ext xmlns:c16="http://schemas.microsoft.com/office/drawing/2014/chart" uri="{C3380CC4-5D6E-409C-BE32-E72D297353CC}">
              <c16:uniqueId val="{0000006B-FDD4-42E4-87E6-BD3964183DBC}"/>
            </c:ext>
          </c:extLst>
        </c:ser>
        <c:ser>
          <c:idx val="78"/>
          <c:order val="78"/>
          <c:tx>
            <c:v>RH=95_1</c:v>
          </c:tx>
          <c:spPr>
            <a:ln w="3175">
              <a:solidFill>
                <a:srgbClr val="0000FF"/>
              </a:solidFill>
              <a:prstDash val="solid"/>
            </a:ln>
          </c:spPr>
          <c:marker>
            <c:symbol val="none"/>
          </c:marker>
          <c:xVal>
            <c:numLit>
              <c:formatCode>General</c:formatCode>
              <c:ptCount val="21"/>
              <c:pt idx="0">
                <c:v>4.5715093515445933</c:v>
              </c:pt>
              <c:pt idx="1">
                <c:v>5.5506268337490203</c:v>
              </c:pt>
              <c:pt idx="2">
                <c:v>6.5292149220548952</c:v>
              </c:pt>
              <c:pt idx="3">
                <c:v>7.5073017191507443</c:v>
              </c:pt>
              <c:pt idx="4">
                <c:v>8.4849202352887367</c:v>
              </c:pt>
              <c:pt idx="5">
                <c:v>9.4621087729948794</c:v>
              </c:pt>
              <c:pt idx="6">
                <c:v>10.438900016018483</c:v>
              </c:pt>
              <c:pt idx="7">
                <c:v>11.415354444379318</c:v>
              </c:pt>
              <c:pt idx="8">
                <c:v>12.391528753926261</c:v>
              </c:pt>
              <c:pt idx="9">
                <c:v>13.36748671310745</c:v>
              </c:pt>
              <c:pt idx="10">
                <c:v>14.343299674632375</c:v>
              </c:pt>
              <c:pt idx="11">
                <c:v>15.319047117663203</c:v>
              </c:pt>
              <c:pt idx="12">
                <c:v>16.294817222695624</c:v>
              </c:pt>
              <c:pt idx="13">
                <c:v>17.270707481510758</c:v>
              </c:pt>
              <c:pt idx="14">
                <c:v>18.246825344826785</c:v>
              </c:pt>
              <c:pt idx="15">
                <c:v>19.223288910555173</c:v>
              </c:pt>
              <c:pt idx="16">
                <c:v>20.20022765587548</c:v>
              </c:pt>
              <c:pt idx="17">
                <c:v>21.177783216688368</c:v>
              </c:pt>
              <c:pt idx="18">
                <c:v>22.156110218393444</c:v>
              </c:pt>
              <c:pt idx="19">
                <c:v>23.135377162372347</c:v>
              </c:pt>
              <c:pt idx="20">
                <c:v>23.65483180251206</c:v>
              </c:pt>
            </c:numLit>
          </c:xVal>
          <c:yVal>
            <c:numLit>
              <c:formatCode>General</c:formatCode>
              <c:ptCount val="21"/>
              <c:pt idx="0">
                <c:v>5.1500787616026219E-3</c:v>
              </c:pt>
              <c:pt idx="1">
                <c:v>5.5238197122248938E-3</c:v>
              </c:pt>
              <c:pt idx="2">
                <c:v>5.9216027558486456E-3</c:v>
              </c:pt>
              <c:pt idx="3">
                <c:v>6.3447832889701929E-3</c:v>
              </c:pt>
              <c:pt idx="4">
                <c:v>6.7947842027213596E-3</c:v>
              </c:pt>
              <c:pt idx="5">
                <c:v>7.2730991178380543E-3</c:v>
              </c:pt>
              <c:pt idx="6">
                <c:v>7.781452769305296E-3</c:v>
              </c:pt>
              <c:pt idx="7">
                <c:v>8.3213558142954808E-3</c:v>
              </c:pt>
              <c:pt idx="8">
                <c:v>8.8945375406884828E-3</c:v>
              </c:pt>
              <c:pt idx="9">
                <c:v>9.5028131214741039E-3</c:v>
              </c:pt>
              <c:pt idx="10">
                <c:v>1.0148087977263168E-2</c:v>
              </c:pt>
              <c:pt idx="11">
                <c:v>1.0832362423004708E-2</c:v>
              </c:pt>
              <c:pt idx="12">
                <c:v>1.1557736623789566E-2</c:v>
              </c:pt>
              <c:pt idx="13">
                <c:v>1.2326415887099727E-2</c:v>
              </c:pt>
              <c:pt idx="14">
                <c:v>1.3140716321613845E-2</c:v>
              </c:pt>
              <c:pt idx="15">
                <c:v>1.4003070895725766E-2</c:v>
              </c:pt>
              <c:pt idx="16">
                <c:v>1.4916035932318635E-2</c:v>
              </c:pt>
              <c:pt idx="17">
                <c:v>1.5882298080097952E-2</c:v>
              </c:pt>
              <c:pt idx="18">
                <c:v>1.6904681805977675E-2</c:v>
              </c:pt>
              <c:pt idx="19">
                <c:v>1.7986157457680306E-2</c:v>
              </c:pt>
              <c:pt idx="20">
                <c:v>1.8584360404457909E-2</c:v>
              </c:pt>
            </c:numLit>
          </c:yVal>
          <c:smooth val="1"/>
          <c:extLst>
            <c:ext xmlns:c16="http://schemas.microsoft.com/office/drawing/2014/chart" uri="{C3380CC4-5D6E-409C-BE32-E72D297353CC}">
              <c16:uniqueId val="{0000006C-FDD4-42E4-87E6-BD3964183DBC}"/>
            </c:ext>
          </c:extLst>
        </c:ser>
        <c:ser>
          <c:idx val="79"/>
          <c:order val="79"/>
          <c:tx>
            <c:v>RH=95_Label</c:v>
          </c:tx>
          <c:spPr>
            <a:ln w="3175">
              <a:solidFill>
                <a:srgbClr val="0000FF"/>
              </a:solidFill>
              <a:prstDash val="solid"/>
            </a:ln>
          </c:spPr>
          <c:marker>
            <c:symbol val="none"/>
          </c:marker>
          <c:dLbls>
            <c:dLbl>
              <c:idx val="0"/>
              <c:tx>
                <c:rich>
                  <a:bodyPr rot="-3480000" vert="horz" wrap="square" lIns="38100" tIns="19050" rIns="38100" bIns="19050" anchor="ctr">
                    <a:spAutoFit/>
                  </a:bodyPr>
                  <a:lstStyle/>
                  <a:p>
                    <a:pPr algn="ctr">
                      <a:defRPr altLang="ja-JP" sz="700" b="0" i="0" u="none" strike="noStrike" baseline="0">
                        <a:latin typeface="ＭＳ Ｐ明朝"/>
                        <a:ea typeface="ＭＳ Ｐ明朝"/>
                        <a:cs typeface="ＭＳ Ｐ明朝"/>
                      </a:defRPr>
                    </a:pPr>
                    <a:r>
                      <a:rPr lang="en-US"/>
                      <a:t>95</a:t>
                    </a:r>
                    <a:endParaRPr lang="en-US" altLang="ja-JP"/>
                  </a:p>
                </c:rich>
              </c:tx>
              <c:spPr>
                <a:noFill/>
                <a:ln>
                  <a:noFill/>
                </a:ln>
                <a:effectLst/>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4-42E4-87E6-BD3964183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23.899975266563242</c:v>
              </c:pt>
            </c:numLit>
          </c:xVal>
          <c:yVal>
            <c:numLit>
              <c:formatCode>General</c:formatCode>
              <c:ptCount val="1"/>
              <c:pt idx="0">
                <c:v>1.887273459870089E-2</c:v>
              </c:pt>
            </c:numLit>
          </c:yVal>
          <c:smooth val="0"/>
          <c:extLst>
            <c:ext xmlns:c16="http://schemas.microsoft.com/office/drawing/2014/chart" uri="{C3380CC4-5D6E-409C-BE32-E72D297353CC}">
              <c16:uniqueId val="{0000006E-FDD4-42E4-87E6-BD3964183DBC}"/>
            </c:ext>
          </c:extLst>
        </c:ser>
        <c:ser>
          <c:idx val="80"/>
          <c:order val="80"/>
          <c:tx>
            <c:v>RH=95_2</c:v>
          </c:tx>
          <c:spPr>
            <a:ln w="3175">
              <a:solidFill>
                <a:srgbClr val="0000FF"/>
              </a:solidFill>
              <a:prstDash val="solid"/>
            </a:ln>
          </c:spPr>
          <c:marker>
            <c:symbol val="none"/>
          </c:marker>
          <c:xVal>
            <c:numLit>
              <c:formatCode>General</c:formatCode>
              <c:ptCount val="12"/>
              <c:pt idx="0">
                <c:v>24.243308436413216</c:v>
              </c:pt>
              <c:pt idx="1">
                <c:v>25.225189821207071</c:v>
              </c:pt>
              <c:pt idx="2">
                <c:v>26.208638356334774</c:v>
              </c:pt>
              <c:pt idx="3">
                <c:v>27.193890751050116</c:v>
              </c:pt>
              <c:pt idx="4">
                <c:v>28.181203240062626</c:v>
              </c:pt>
              <c:pt idx="5">
                <c:v>29.170852943546347</c:v>
              </c:pt>
              <c:pt idx="6">
                <c:v>30.163139332641901</c:v>
              </c:pt>
              <c:pt idx="7">
                <c:v>31.158385811108786</c:v>
              </c:pt>
              <c:pt idx="8">
                <c:v>32.156941425074045</c:v>
              </c:pt>
              <c:pt idx="9">
                <c:v>33.159182714285301</c:v>
              </c:pt>
              <c:pt idx="10">
                <c:v>34.165515719936757</c:v>
              </c:pt>
              <c:pt idx="11">
                <c:v>33.621562011400414</c:v>
              </c:pt>
            </c:numLit>
          </c:xVal>
          <c:yVal>
            <c:numLit>
              <c:formatCode>General</c:formatCode>
              <c:ptCount val="12"/>
              <c:pt idx="0">
                <c:v>1.9283320859184057E-2</c:v>
              </c:pt>
              <c:pt idx="1">
                <c:v>2.0501710426676936E-2</c:v>
              </c:pt>
              <c:pt idx="2">
                <c:v>2.1789587089421334E-2</c:v>
              </c:pt>
              <c:pt idx="3">
                <c:v>2.3150628701456469E-2</c:v>
              </c:pt>
              <c:pt idx="4">
                <c:v>2.4588712008722775E-2</c:v>
              </c:pt>
              <c:pt idx="5">
                <c:v>2.6107925677992385E-2</c:v>
              </c:pt>
              <c:pt idx="6">
                <c:v>2.7712584444850481E-2</c:v>
              </c:pt>
              <c:pt idx="7">
                <c:v>2.9407244496529976E-2</c:v>
              </c:pt>
              <c:pt idx="8">
                <c:v>3.1196720218989966E-2</c:v>
              </c:pt>
              <c:pt idx="9">
                <c:v>3.3086102453028524E-2</c:v>
              </c:pt>
              <c:pt idx="10">
                <c:v>3.5080778421720527E-2</c:v>
              </c:pt>
              <c:pt idx="11">
                <c:v>3.4000000000000002E-2</c:v>
              </c:pt>
            </c:numLit>
          </c:yVal>
          <c:smooth val="1"/>
          <c:extLst>
            <c:ext xmlns:c16="http://schemas.microsoft.com/office/drawing/2014/chart" uri="{C3380CC4-5D6E-409C-BE32-E72D297353CC}">
              <c16:uniqueId val="{0000006F-FDD4-42E4-87E6-BD3964183DBC}"/>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34E8-4E25-845D-BC409DED3DA3}"/>
            </c:ext>
          </c:extLst>
        </c:ser>
        <c:ser>
          <c:idx val="1"/>
          <c:order val="1"/>
          <c:tx>
            <c:v>t=-10</c:v>
          </c:tx>
          <c:spPr>
            <a:ln w="3175">
              <a:solidFill>
                <a:srgbClr val="3366FF"/>
              </a:solidFill>
              <a:prstDash val="solid"/>
            </a:ln>
          </c:spPr>
          <c:marker>
            <c:symbol val="none"/>
          </c:marker>
          <c:dLbls>
            <c:dLbl>
              <c:idx val="0"/>
              <c:layout>
                <c:manualLayout>
                  <c:x val="-1.8663194444444444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c:v>
              </c:pt>
              <c:pt idx="1">
                <c:v>-10.178169782224485</c:v>
              </c:pt>
            </c:numLit>
          </c:xVal>
          <c:yVal>
            <c:numLit>
              <c:formatCode>General</c:formatCode>
              <c:ptCount val="2"/>
              <c:pt idx="0">
                <c:v>0</c:v>
              </c:pt>
              <c:pt idx="1">
                <c:v>1.6060824455002901E-3</c:v>
              </c:pt>
            </c:numLit>
          </c:yVal>
          <c:smooth val="0"/>
          <c:extLst>
            <c:ext xmlns:c16="http://schemas.microsoft.com/office/drawing/2014/chart" uri="{C3380CC4-5D6E-409C-BE32-E72D297353CC}">
              <c16:uniqueId val="{00000002-34E8-4E25-845D-BC409DED3DA3}"/>
            </c:ext>
          </c:extLst>
        </c:ser>
        <c:ser>
          <c:idx val="2"/>
          <c:order val="2"/>
          <c:tx>
            <c:v>t=-9</c:v>
          </c:tx>
          <c:spPr>
            <a:ln w="3175">
              <a:solidFill>
                <a:srgbClr val="3366FF"/>
              </a:solidFill>
              <a:prstDash val="solid"/>
            </a:ln>
          </c:spPr>
          <c:marker>
            <c:symbol val="none"/>
          </c:marker>
          <c:xVal>
            <c:numLit>
              <c:formatCode>General</c:formatCode>
              <c:ptCount val="2"/>
              <c:pt idx="0">
                <c:v>-9</c:v>
              </c:pt>
              <c:pt idx="1">
                <c:v>-9.1914446576012097</c:v>
              </c:pt>
            </c:numLit>
          </c:xVal>
          <c:yVal>
            <c:numLit>
              <c:formatCode>General</c:formatCode>
              <c:ptCount val="2"/>
              <c:pt idx="0">
                <c:v>0</c:v>
              </c:pt>
              <c:pt idx="1">
                <c:v>1.754996587815E-3</c:v>
              </c:pt>
            </c:numLit>
          </c:yVal>
          <c:smooth val="0"/>
          <c:extLst>
            <c:ext xmlns:c16="http://schemas.microsoft.com/office/drawing/2014/chart" uri="{C3380CC4-5D6E-409C-BE32-E72D297353CC}">
              <c16:uniqueId val="{00000003-34E8-4E25-845D-BC409DED3DA3}"/>
            </c:ext>
          </c:extLst>
        </c:ser>
        <c:ser>
          <c:idx val="3"/>
          <c:order val="3"/>
          <c:tx>
            <c:v>t=-8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c:v>
              </c:pt>
              <c:pt idx="1">
                <c:v>-8.2055155451094635</c:v>
              </c:pt>
            </c:numLit>
          </c:xVal>
          <c:yVal>
            <c:numLit>
              <c:formatCode>General</c:formatCode>
              <c:ptCount val="2"/>
              <c:pt idx="0">
                <c:v>0</c:v>
              </c:pt>
              <c:pt idx="1">
                <c:v>1.9164686538757701E-3</c:v>
              </c:pt>
            </c:numLit>
          </c:yVal>
          <c:smooth val="0"/>
          <c:extLst>
            <c:ext xmlns:c16="http://schemas.microsoft.com/office/drawing/2014/chart" uri="{C3380CC4-5D6E-409C-BE32-E72D297353CC}">
              <c16:uniqueId val="{00000005-34E8-4E25-845D-BC409DED3DA3}"/>
            </c:ext>
          </c:extLst>
        </c:ser>
        <c:ser>
          <c:idx val="4"/>
          <c:order val="4"/>
          <c:tx>
            <c:v>t=-7</c:v>
          </c:tx>
          <c:spPr>
            <a:ln w="3175">
              <a:solidFill>
                <a:srgbClr val="3366FF"/>
              </a:solidFill>
              <a:prstDash val="solid"/>
            </a:ln>
          </c:spPr>
          <c:marker>
            <c:symbol val="none"/>
          </c:marker>
          <c:xVal>
            <c:numLit>
              <c:formatCode>General</c:formatCode>
              <c:ptCount val="2"/>
              <c:pt idx="0">
                <c:v>-7</c:v>
              </c:pt>
              <c:pt idx="1">
                <c:v>-7.22041332968442</c:v>
              </c:pt>
            </c:numLit>
          </c:xVal>
          <c:yVal>
            <c:numLit>
              <c:formatCode>General</c:formatCode>
              <c:ptCount val="2"/>
              <c:pt idx="0">
                <c:v>0</c:v>
              </c:pt>
              <c:pt idx="1">
                <c:v>2.0914526472602E-3</c:v>
              </c:pt>
            </c:numLit>
          </c:yVal>
          <c:smooth val="0"/>
          <c:extLst>
            <c:ext xmlns:c16="http://schemas.microsoft.com/office/drawing/2014/chart" uri="{C3380CC4-5D6E-409C-BE32-E72D297353CC}">
              <c16:uniqueId val="{00000006-34E8-4E25-845D-BC409DED3DA3}"/>
            </c:ext>
          </c:extLst>
        </c:ser>
        <c:ser>
          <c:idx val="5"/>
          <c:order val="5"/>
          <c:tx>
            <c:v>t=-6</c:v>
          </c:tx>
          <c:spPr>
            <a:ln w="3175">
              <a:solidFill>
                <a:srgbClr val="3366FF"/>
              </a:solidFill>
              <a:prstDash val="solid"/>
            </a:ln>
          </c:spPr>
          <c:marker>
            <c:symbol val="none"/>
          </c:marker>
          <c:dLbls>
            <c:dLbl>
              <c:idx val="0"/>
              <c:layout>
                <c:manualLayout>
                  <c:x val="-1.5625000000000017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c:v>
              </c:pt>
              <c:pt idx="1">
                <c:v>-6.2361685593886991</c:v>
              </c:pt>
            </c:numLit>
          </c:xVal>
          <c:yVal>
            <c:numLit>
              <c:formatCode>General</c:formatCode>
              <c:ptCount val="2"/>
              <c:pt idx="0">
                <c:v>0</c:v>
              </c:pt>
              <c:pt idx="1">
                <c:v>2.28096746106981E-3</c:v>
              </c:pt>
            </c:numLit>
          </c:yVal>
          <c:smooth val="0"/>
          <c:extLst>
            <c:ext xmlns:c16="http://schemas.microsoft.com/office/drawing/2014/chart" uri="{C3380CC4-5D6E-409C-BE32-E72D297353CC}">
              <c16:uniqueId val="{00000008-34E8-4E25-845D-BC409DED3DA3}"/>
            </c:ext>
          </c:extLst>
        </c:ser>
        <c:ser>
          <c:idx val="6"/>
          <c:order val="6"/>
          <c:tx>
            <c:v>t=-5</c:v>
          </c:tx>
          <c:spPr>
            <a:ln w="3175">
              <a:solidFill>
                <a:srgbClr val="3366FF"/>
              </a:solidFill>
              <a:prstDash val="solid"/>
            </a:ln>
          </c:spPr>
          <c:marker>
            <c:symbol val="none"/>
          </c:marker>
          <c:xVal>
            <c:numLit>
              <c:formatCode>General</c:formatCode>
              <c:ptCount val="2"/>
              <c:pt idx="0">
                <c:v>-5</c:v>
              </c:pt>
              <c:pt idx="1">
                <c:v>-5.2528112525852375</c:v>
              </c:pt>
            </c:numLit>
          </c:xVal>
          <c:yVal>
            <c:numLit>
              <c:formatCode>General</c:formatCode>
              <c:ptCount val="2"/>
              <c:pt idx="0">
                <c:v>0</c:v>
              </c:pt>
              <c:pt idx="1">
                <c:v>2.4861008807502299E-3</c:v>
              </c:pt>
            </c:numLit>
          </c:yVal>
          <c:smooth val="0"/>
          <c:extLst>
            <c:ext xmlns:c16="http://schemas.microsoft.com/office/drawing/2014/chart" uri="{C3380CC4-5D6E-409C-BE32-E72D297353CC}">
              <c16:uniqueId val="{00000009-34E8-4E25-845D-BC409DED3DA3}"/>
            </c:ext>
          </c:extLst>
        </c:ser>
        <c:ser>
          <c:idx val="7"/>
          <c:order val="7"/>
          <c:tx>
            <c:v>t=-4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c:v>
              </c:pt>
              <c:pt idx="1">
                <c:v>-4.2703706848883494</c:v>
              </c:pt>
            </c:numLit>
          </c:xVal>
          <c:yVal>
            <c:numLit>
              <c:formatCode>General</c:formatCode>
              <c:ptCount val="2"/>
              <c:pt idx="0">
                <c:v>0</c:v>
              </c:pt>
              <c:pt idx="1">
                <c:v>2.7080138291286299E-3</c:v>
              </c:pt>
            </c:numLit>
          </c:yVal>
          <c:smooth val="0"/>
          <c:extLst>
            <c:ext xmlns:c16="http://schemas.microsoft.com/office/drawing/2014/chart" uri="{C3380CC4-5D6E-409C-BE32-E72D297353CC}">
              <c16:uniqueId val="{0000000B-34E8-4E25-845D-BC409DED3DA3}"/>
            </c:ext>
          </c:extLst>
        </c:ser>
        <c:ser>
          <c:idx val="8"/>
          <c:order val="8"/>
          <c:tx>
            <c:v>t=-3</c:v>
          </c:tx>
          <c:spPr>
            <a:ln w="3175">
              <a:solidFill>
                <a:srgbClr val="3366FF"/>
              </a:solidFill>
              <a:prstDash val="solid"/>
            </a:ln>
          </c:spPr>
          <c:marker>
            <c:symbol val="none"/>
          </c:marker>
          <c:xVal>
            <c:numLit>
              <c:formatCode>General</c:formatCode>
              <c:ptCount val="2"/>
              <c:pt idx="0">
                <c:v>-3</c:v>
              </c:pt>
              <c:pt idx="1">
                <c:v>-3.2888751544738284</c:v>
              </c:pt>
            </c:numLit>
          </c:xVal>
          <c:yVal>
            <c:numLit>
              <c:formatCode>General</c:formatCode>
              <c:ptCount val="2"/>
              <c:pt idx="0">
                <c:v>0</c:v>
              </c:pt>
              <c:pt idx="1">
                <c:v>2.9479448711774302E-3</c:v>
              </c:pt>
            </c:numLit>
          </c:yVal>
          <c:smooth val="0"/>
          <c:extLst>
            <c:ext xmlns:c16="http://schemas.microsoft.com/office/drawing/2014/chart" uri="{C3380CC4-5D6E-409C-BE32-E72D297353CC}">
              <c16:uniqueId val="{0000000C-34E8-4E25-845D-BC409DED3DA3}"/>
            </c:ext>
          </c:extLst>
        </c:ser>
        <c:ser>
          <c:idx val="9"/>
          <c:order val="9"/>
          <c:tx>
            <c:v>t=-2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c:v>
              </c:pt>
              <c:pt idx="1">
                <c:v>-2.3083517242375033</c:v>
              </c:pt>
            </c:numLit>
          </c:xVal>
          <c:yVal>
            <c:numLit>
              <c:formatCode>General</c:formatCode>
              <c:ptCount val="2"/>
              <c:pt idx="0">
                <c:v>0</c:v>
              </c:pt>
              <c:pt idx="1">
                <c:v>3.2072149977556701E-3</c:v>
              </c:pt>
            </c:numLit>
          </c:yVal>
          <c:smooth val="0"/>
          <c:extLst>
            <c:ext xmlns:c16="http://schemas.microsoft.com/office/drawing/2014/chart" uri="{C3380CC4-5D6E-409C-BE32-E72D297353CC}">
              <c16:uniqueId val="{0000000E-34E8-4E25-845D-BC409DED3DA3}"/>
            </c:ext>
          </c:extLst>
        </c:ser>
        <c:ser>
          <c:idx val="10"/>
          <c:order val="10"/>
          <c:tx>
            <c:v>t=-1</c:v>
          </c:tx>
          <c:spPr>
            <a:ln w="3175">
              <a:solidFill>
                <a:srgbClr val="3366FF"/>
              </a:solidFill>
              <a:prstDash val="solid"/>
            </a:ln>
          </c:spPr>
          <c:marker>
            <c:symbol val="none"/>
          </c:marker>
          <c:xVal>
            <c:numLit>
              <c:formatCode>General</c:formatCode>
              <c:ptCount val="2"/>
              <c:pt idx="0">
                <c:v>-1</c:v>
              </c:pt>
              <c:pt idx="1">
                <c:v>-1.3288259391909205</c:v>
              </c:pt>
            </c:numLit>
          </c:xVal>
          <c:yVal>
            <c:numLit>
              <c:formatCode>General</c:formatCode>
              <c:ptCount val="2"/>
              <c:pt idx="0">
                <c:v>0</c:v>
              </c:pt>
              <c:pt idx="1">
                <c:v>3.4872327095305301E-3</c:v>
              </c:pt>
            </c:numLit>
          </c:yVal>
          <c:smooth val="0"/>
          <c:extLst>
            <c:ext xmlns:c16="http://schemas.microsoft.com/office/drawing/2014/chart" uri="{C3380CC4-5D6E-409C-BE32-E72D297353CC}">
              <c16:uniqueId val="{0000000F-34E8-4E25-845D-BC409DED3DA3}"/>
            </c:ext>
          </c:extLst>
        </c:ser>
        <c:ser>
          <c:idx val="11"/>
          <c:order val="11"/>
          <c:tx>
            <c:v>t=0</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c:v>
              </c:pt>
              <c:pt idx="1">
                <c:v>-0.35032151737137107</c:v>
              </c:pt>
            </c:numLit>
          </c:xVal>
          <c:yVal>
            <c:numLit>
              <c:formatCode>General</c:formatCode>
              <c:ptCount val="2"/>
              <c:pt idx="0">
                <c:v>0</c:v>
              </c:pt>
              <c:pt idx="1">
                <c:v>3.7894994244688099E-3</c:v>
              </c:pt>
            </c:numLit>
          </c:yVal>
          <c:smooth val="0"/>
          <c:extLst>
            <c:ext xmlns:c16="http://schemas.microsoft.com/office/drawing/2014/chart" uri="{C3380CC4-5D6E-409C-BE32-E72D297353CC}">
              <c16:uniqueId val="{00000011-34E8-4E25-845D-BC409DED3DA3}"/>
            </c:ext>
          </c:extLst>
        </c:ser>
        <c:ser>
          <c:idx val="12"/>
          <c:order val="12"/>
          <c:tx>
            <c:v>t=1</c:v>
          </c:tx>
          <c:spPr>
            <a:ln w="3175">
              <a:solidFill>
                <a:srgbClr val="3366FF"/>
              </a:solidFill>
              <a:prstDash val="solid"/>
            </a:ln>
          </c:spPr>
          <c:marker>
            <c:symbol val="none"/>
          </c:marker>
          <c:xVal>
            <c:numLit>
              <c:formatCode>General</c:formatCode>
              <c:ptCount val="2"/>
              <c:pt idx="0">
                <c:v>1</c:v>
              </c:pt>
              <c:pt idx="1">
                <c:v>0.63072878902048046</c:v>
              </c:pt>
            </c:numLit>
          </c:xVal>
          <c:yVal>
            <c:numLit>
              <c:formatCode>General</c:formatCode>
              <c:ptCount val="2"/>
              <c:pt idx="0">
                <c:v>0</c:v>
              </c:pt>
              <c:pt idx="1">
                <c:v>4.0760021751744197E-3</c:v>
              </c:pt>
            </c:numLit>
          </c:yVal>
          <c:smooth val="0"/>
          <c:extLst>
            <c:ext xmlns:c16="http://schemas.microsoft.com/office/drawing/2014/chart" uri="{C3380CC4-5D6E-409C-BE32-E72D297353CC}">
              <c16:uniqueId val="{00000012-34E8-4E25-845D-BC409DED3DA3}"/>
            </c:ext>
          </c:extLst>
        </c:ser>
        <c:ser>
          <c:idx val="13"/>
          <c:order val="13"/>
          <c:tx>
            <c:v>t=2</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c:v>
              </c:pt>
              <c:pt idx="1">
                <c:v>1.6111719572746133</c:v>
              </c:pt>
            </c:numLit>
          </c:xVal>
          <c:yVal>
            <c:numLit>
              <c:formatCode>General</c:formatCode>
              <c:ptCount val="2"/>
              <c:pt idx="0">
                <c:v>0</c:v>
              </c:pt>
              <c:pt idx="1">
                <c:v>4.3812837251538898E-3</c:v>
              </c:pt>
            </c:numLit>
          </c:yVal>
          <c:smooth val="0"/>
          <c:extLst>
            <c:ext xmlns:c16="http://schemas.microsoft.com/office/drawing/2014/chart" uri="{C3380CC4-5D6E-409C-BE32-E72D297353CC}">
              <c16:uniqueId val="{00000014-34E8-4E25-845D-BC409DED3DA3}"/>
            </c:ext>
          </c:extLst>
        </c:ser>
        <c:ser>
          <c:idx val="14"/>
          <c:order val="14"/>
          <c:tx>
            <c:v>t=3</c:v>
          </c:tx>
          <c:spPr>
            <a:ln w="3175">
              <a:solidFill>
                <a:srgbClr val="3366FF"/>
              </a:solidFill>
              <a:prstDash val="solid"/>
            </a:ln>
          </c:spPr>
          <c:marker>
            <c:symbol val="none"/>
          </c:marker>
          <c:xVal>
            <c:numLit>
              <c:formatCode>General</c:formatCode>
              <c:ptCount val="2"/>
              <c:pt idx="0">
                <c:v>3</c:v>
              </c:pt>
              <c:pt idx="1">
                <c:v>2.5909827527240186</c:v>
              </c:pt>
            </c:numLit>
          </c:xVal>
          <c:yVal>
            <c:numLit>
              <c:formatCode>General</c:formatCode>
              <c:ptCount val="2"/>
              <c:pt idx="0">
                <c:v>0</c:v>
              </c:pt>
              <c:pt idx="1">
                <c:v>4.7068331132422503E-3</c:v>
              </c:pt>
            </c:numLit>
          </c:yVal>
          <c:smooth val="0"/>
          <c:extLst>
            <c:ext xmlns:c16="http://schemas.microsoft.com/office/drawing/2014/chart" uri="{C3380CC4-5D6E-409C-BE32-E72D297353CC}">
              <c16:uniqueId val="{00000015-34E8-4E25-845D-BC409DED3DA3}"/>
            </c:ext>
          </c:extLst>
        </c:ser>
        <c:ser>
          <c:idx val="15"/>
          <c:order val="15"/>
          <c:tx>
            <c:v>t=4</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6-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c:v>
              </c:pt>
              <c:pt idx="1">
                <c:v>3.5701735744985212</c:v>
              </c:pt>
            </c:numLit>
          </c:xVal>
          <c:yVal>
            <c:numLit>
              <c:formatCode>General</c:formatCode>
              <c:ptCount val="2"/>
              <c:pt idx="0">
                <c:v>0</c:v>
              </c:pt>
              <c:pt idx="1">
                <c:v>5.0538263680982602E-3</c:v>
              </c:pt>
            </c:numLit>
          </c:yVal>
          <c:smooth val="0"/>
          <c:extLst>
            <c:ext xmlns:c16="http://schemas.microsoft.com/office/drawing/2014/chart" uri="{C3380CC4-5D6E-409C-BE32-E72D297353CC}">
              <c16:uniqueId val="{00000017-34E8-4E25-845D-BC409DED3DA3}"/>
            </c:ext>
          </c:extLst>
        </c:ser>
        <c:ser>
          <c:idx val="16"/>
          <c:order val="16"/>
          <c:tx>
            <c:v>t=5</c:v>
          </c:tx>
          <c:spPr>
            <a:ln w="3175">
              <a:solidFill>
                <a:srgbClr val="3366FF"/>
              </a:solidFill>
              <a:prstDash val="solid"/>
            </a:ln>
          </c:spPr>
          <c:marker>
            <c:symbol val="none"/>
          </c:marker>
          <c:xVal>
            <c:numLit>
              <c:formatCode>General</c:formatCode>
              <c:ptCount val="2"/>
              <c:pt idx="0">
                <c:v>5</c:v>
              </c:pt>
              <c:pt idx="1">
                <c:v>4.5487605635344499</c:v>
              </c:pt>
            </c:numLit>
          </c:xVal>
          <c:yVal>
            <c:numLit>
              <c:formatCode>General</c:formatCode>
              <c:ptCount val="2"/>
              <c:pt idx="0">
                <c:v>0</c:v>
              </c:pt>
              <c:pt idx="1">
                <c:v>5.4234990810554801E-3</c:v>
              </c:pt>
            </c:numLit>
          </c:yVal>
          <c:smooth val="0"/>
          <c:extLst>
            <c:ext xmlns:c16="http://schemas.microsoft.com/office/drawing/2014/chart" uri="{C3380CC4-5D6E-409C-BE32-E72D297353CC}">
              <c16:uniqueId val="{00000018-34E8-4E25-845D-BC409DED3DA3}"/>
            </c:ext>
          </c:extLst>
        </c:ser>
        <c:ser>
          <c:idx val="17"/>
          <c:order val="17"/>
          <c:tx>
            <c:v>t=6</c:v>
          </c:tx>
          <c:spPr>
            <a:ln w="3175">
              <a:solidFill>
                <a:srgbClr val="3366FF"/>
              </a:solidFill>
              <a:prstDash val="solid"/>
            </a:ln>
          </c:spPr>
          <c:marker>
            <c:symbol val="none"/>
          </c:marker>
          <c:dLbls>
            <c:dLbl>
              <c:idx val="0"/>
              <c:layout>
                <c:manualLayout>
                  <c:x val="-1.2586805555555587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9-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c:v>
              </c:pt>
              <c:pt idx="1">
                <c:v>5.5267544089063207</c:v>
              </c:pt>
            </c:numLit>
          </c:xVal>
          <c:yVal>
            <c:numLit>
              <c:formatCode>General</c:formatCode>
              <c:ptCount val="2"/>
              <c:pt idx="0">
                <c:v>0</c:v>
              </c:pt>
              <c:pt idx="1">
                <c:v>5.8172661857312001E-3</c:v>
              </c:pt>
            </c:numLit>
          </c:yVal>
          <c:smooth val="0"/>
          <c:extLst>
            <c:ext xmlns:c16="http://schemas.microsoft.com/office/drawing/2014/chart" uri="{C3380CC4-5D6E-409C-BE32-E72D297353CC}">
              <c16:uniqueId val="{0000001A-34E8-4E25-845D-BC409DED3DA3}"/>
            </c:ext>
          </c:extLst>
        </c:ser>
        <c:ser>
          <c:idx val="18"/>
          <c:order val="18"/>
          <c:tx>
            <c:v>t=7</c:v>
          </c:tx>
          <c:spPr>
            <a:ln w="3175">
              <a:solidFill>
                <a:srgbClr val="3366FF"/>
              </a:solidFill>
              <a:prstDash val="solid"/>
            </a:ln>
          </c:spPr>
          <c:marker>
            <c:symbol val="none"/>
          </c:marker>
          <c:xVal>
            <c:numLit>
              <c:formatCode>General</c:formatCode>
              <c:ptCount val="2"/>
              <c:pt idx="0">
                <c:v>7</c:v>
              </c:pt>
              <c:pt idx="1">
                <c:v>6.5041883174927406</c:v>
              </c:pt>
            </c:numLit>
          </c:xVal>
          <c:yVal>
            <c:numLit>
              <c:formatCode>General</c:formatCode>
              <c:ptCount val="2"/>
              <c:pt idx="0">
                <c:v>0</c:v>
              </c:pt>
              <c:pt idx="1">
                <c:v>6.2363910052801001E-3</c:v>
              </c:pt>
            </c:numLit>
          </c:yVal>
          <c:smooth val="0"/>
          <c:extLst>
            <c:ext xmlns:c16="http://schemas.microsoft.com/office/drawing/2014/chart" uri="{C3380CC4-5D6E-409C-BE32-E72D297353CC}">
              <c16:uniqueId val="{0000001B-34E8-4E25-845D-BC409DED3DA3}"/>
            </c:ext>
          </c:extLst>
        </c:ser>
        <c:ser>
          <c:idx val="19"/>
          <c:order val="19"/>
          <c:tx>
            <c:v>t=8</c:v>
          </c:tx>
          <c:spPr>
            <a:ln w="3175">
              <a:solidFill>
                <a:srgbClr val="3366FF"/>
              </a:solidFill>
              <a:prstDash val="solid"/>
            </a:ln>
          </c:spPr>
          <c:marker>
            <c:symbol val="none"/>
          </c:marker>
          <c:dLbls>
            <c:dLbl>
              <c:idx val="0"/>
              <c:layout>
                <c:manualLayout>
                  <c:x val="-1.2586805555555556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C-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8</c:v>
              </c:pt>
              <c:pt idx="1">
                <c:v>7.481091633037142</c:v>
              </c:pt>
            </c:numLit>
          </c:xVal>
          <c:yVal>
            <c:numLit>
              <c:formatCode>General</c:formatCode>
              <c:ptCount val="2"/>
              <c:pt idx="0">
                <c:v>0</c:v>
              </c:pt>
              <c:pt idx="1">
                <c:v>6.68230692735069E-3</c:v>
              </c:pt>
            </c:numLit>
          </c:yVal>
          <c:smooth val="0"/>
          <c:extLst>
            <c:ext xmlns:c16="http://schemas.microsoft.com/office/drawing/2014/chart" uri="{C3380CC4-5D6E-409C-BE32-E72D297353CC}">
              <c16:uniqueId val="{0000001D-34E8-4E25-845D-BC409DED3DA3}"/>
            </c:ext>
          </c:extLst>
        </c:ser>
        <c:ser>
          <c:idx val="20"/>
          <c:order val="20"/>
          <c:tx>
            <c:v>t=9</c:v>
          </c:tx>
          <c:spPr>
            <a:ln w="3175">
              <a:solidFill>
                <a:srgbClr val="3366FF"/>
              </a:solidFill>
              <a:prstDash val="solid"/>
            </a:ln>
          </c:spPr>
          <c:marker>
            <c:symbol val="none"/>
          </c:marker>
          <c:xVal>
            <c:numLit>
              <c:formatCode>General</c:formatCode>
              <c:ptCount val="2"/>
              <c:pt idx="0">
                <c:v>9</c:v>
              </c:pt>
              <c:pt idx="1">
                <c:v>8.4574988517709855</c:v>
              </c:pt>
            </c:numLit>
          </c:xVal>
          <c:yVal>
            <c:numLit>
              <c:formatCode>General</c:formatCode>
              <c:ptCount val="2"/>
              <c:pt idx="0">
                <c:v>0</c:v>
              </c:pt>
              <c:pt idx="1">
                <c:v>7.1565192121477803E-3</c:v>
              </c:pt>
            </c:numLit>
          </c:yVal>
          <c:smooth val="0"/>
          <c:extLst>
            <c:ext xmlns:c16="http://schemas.microsoft.com/office/drawing/2014/chart" uri="{C3380CC4-5D6E-409C-BE32-E72D297353CC}">
              <c16:uniqueId val="{0000001E-34E8-4E25-845D-BC409DED3DA3}"/>
            </c:ext>
          </c:extLst>
        </c:ser>
        <c:ser>
          <c:idx val="21"/>
          <c:order val="21"/>
          <c:tx>
            <c:v>t=10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F-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c:v>
              </c:pt>
              <c:pt idx="1">
                <c:v>9.4334500278774112</c:v>
              </c:pt>
            </c:numLit>
          </c:xVal>
          <c:yVal>
            <c:numLit>
              <c:formatCode>General</c:formatCode>
              <c:ptCount val="2"/>
              <c:pt idx="0">
                <c:v>0</c:v>
              </c:pt>
              <c:pt idx="1">
                <c:v>7.6606084940231802E-3</c:v>
              </c:pt>
            </c:numLit>
          </c:yVal>
          <c:smooth val="0"/>
          <c:extLst>
            <c:ext xmlns:c16="http://schemas.microsoft.com/office/drawing/2014/chart" uri="{C3380CC4-5D6E-409C-BE32-E72D297353CC}">
              <c16:uniqueId val="{00000020-34E8-4E25-845D-BC409DED3DA3}"/>
            </c:ext>
          </c:extLst>
        </c:ser>
        <c:ser>
          <c:idx val="22"/>
          <c:order val="22"/>
          <c:tx>
            <c:v>t=11</c:v>
          </c:tx>
          <c:spPr>
            <a:ln w="3175">
              <a:solidFill>
                <a:srgbClr val="3366FF"/>
              </a:solidFill>
              <a:prstDash val="solid"/>
            </a:ln>
          </c:spPr>
          <c:marker>
            <c:symbol val="none"/>
          </c:marker>
          <c:xVal>
            <c:numLit>
              <c:formatCode>General</c:formatCode>
              <c:ptCount val="2"/>
              <c:pt idx="0">
                <c:v>11</c:v>
              </c:pt>
              <c:pt idx="1">
                <c:v>10.408979273270996</c:v>
              </c:pt>
            </c:numLit>
          </c:xVal>
          <c:yVal>
            <c:numLit>
              <c:formatCode>General</c:formatCode>
              <c:ptCount val="2"/>
              <c:pt idx="0">
                <c:v>0</c:v>
              </c:pt>
              <c:pt idx="1">
                <c:v>8.1963999323046207E-3</c:v>
              </c:pt>
            </c:numLit>
          </c:yVal>
          <c:smooth val="0"/>
          <c:extLst>
            <c:ext xmlns:c16="http://schemas.microsoft.com/office/drawing/2014/chart" uri="{C3380CC4-5D6E-409C-BE32-E72D297353CC}">
              <c16:uniqueId val="{00000021-34E8-4E25-845D-BC409DED3DA3}"/>
            </c:ext>
          </c:extLst>
        </c:ser>
        <c:ser>
          <c:idx val="23"/>
          <c:order val="23"/>
          <c:tx>
            <c:v>t=12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2-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12</c:v>
              </c:pt>
              <c:pt idx="1">
                <c:v>11.384149975978485</c:v>
              </c:pt>
            </c:numLit>
          </c:xVal>
          <c:yVal>
            <c:numLit>
              <c:formatCode>General</c:formatCode>
              <c:ptCount val="2"/>
              <c:pt idx="0">
                <c:v>0</c:v>
              </c:pt>
              <c:pt idx="1">
                <c:v>8.7654941166616408E-3</c:v>
              </c:pt>
            </c:numLit>
          </c:yVal>
          <c:smooth val="0"/>
          <c:extLst>
            <c:ext xmlns:c16="http://schemas.microsoft.com/office/drawing/2014/chart" uri="{C3380CC4-5D6E-409C-BE32-E72D297353CC}">
              <c16:uniqueId val="{00000023-34E8-4E25-845D-BC409DED3DA3}"/>
            </c:ext>
          </c:extLst>
        </c:ser>
        <c:ser>
          <c:idx val="24"/>
          <c:order val="24"/>
          <c:tx>
            <c:v>t=13</c:v>
          </c:tx>
          <c:spPr>
            <a:ln w="3175">
              <a:solidFill>
                <a:srgbClr val="3366FF"/>
              </a:solidFill>
              <a:prstDash val="solid"/>
            </a:ln>
          </c:spPr>
          <c:marker>
            <c:symbol val="none"/>
          </c:marker>
          <c:xVal>
            <c:numLit>
              <c:formatCode>General</c:formatCode>
              <c:ptCount val="2"/>
              <c:pt idx="0">
                <c:v>13</c:v>
              </c:pt>
              <c:pt idx="1">
                <c:v>12.359021518730225</c:v>
              </c:pt>
            </c:numLit>
          </c:xVal>
          <c:yVal>
            <c:numLit>
              <c:formatCode>General</c:formatCode>
              <c:ptCount val="2"/>
              <c:pt idx="0">
                <c:v>0</c:v>
              </c:pt>
              <c:pt idx="1">
                <c:v>9.3697232222812107E-3</c:v>
              </c:pt>
            </c:numLit>
          </c:yVal>
          <c:smooth val="0"/>
          <c:extLst>
            <c:ext xmlns:c16="http://schemas.microsoft.com/office/drawing/2014/chart" uri="{C3380CC4-5D6E-409C-BE32-E72D297353CC}">
              <c16:uniqueId val="{00000024-34E8-4E25-845D-BC409DED3DA3}"/>
            </c:ext>
          </c:extLst>
        </c:ser>
        <c:ser>
          <c:idx val="25"/>
          <c:order val="25"/>
          <c:tx>
            <c:v>t=14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5-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14</c:v>
              </c:pt>
              <c:pt idx="1">
                <c:v>13.333660721764184</c:v>
              </c:pt>
            </c:numLit>
          </c:xVal>
          <c:yVal>
            <c:numLit>
              <c:formatCode>General</c:formatCode>
              <c:ptCount val="2"/>
              <c:pt idx="0">
                <c:v>0</c:v>
              </c:pt>
              <c:pt idx="1">
                <c:v>1.00110112590387E-2</c:v>
              </c:pt>
            </c:numLit>
          </c:yVal>
          <c:smooth val="0"/>
          <c:extLst>
            <c:ext xmlns:c16="http://schemas.microsoft.com/office/drawing/2014/chart" uri="{C3380CC4-5D6E-409C-BE32-E72D297353CC}">
              <c16:uniqueId val="{00000026-34E8-4E25-845D-BC409DED3DA3}"/>
            </c:ext>
          </c:extLst>
        </c:ser>
        <c:ser>
          <c:idx val="26"/>
          <c:order val="26"/>
          <c:tx>
            <c:v>t=15</c:v>
          </c:tx>
          <c:spPr>
            <a:ln w="3175">
              <a:solidFill>
                <a:srgbClr val="3366FF"/>
              </a:solidFill>
              <a:prstDash val="solid"/>
            </a:ln>
          </c:spPr>
          <c:marker>
            <c:symbol val="none"/>
          </c:marker>
          <c:xVal>
            <c:numLit>
              <c:formatCode>General</c:formatCode>
              <c:ptCount val="2"/>
              <c:pt idx="0">
                <c:v>15</c:v>
              </c:pt>
              <c:pt idx="1">
                <c:v>14.308142384050464</c:v>
              </c:pt>
            </c:numLit>
          </c:xVal>
          <c:yVal>
            <c:numLit>
              <c:formatCode>General</c:formatCode>
              <c:ptCount val="2"/>
              <c:pt idx="0">
                <c:v>0</c:v>
              </c:pt>
              <c:pt idx="1">
                <c:v>1.06913788271157E-2</c:v>
              </c:pt>
            </c:numLit>
          </c:yVal>
          <c:smooth val="0"/>
          <c:extLst>
            <c:ext xmlns:c16="http://schemas.microsoft.com/office/drawing/2014/chart" uri="{C3380CC4-5D6E-409C-BE32-E72D297353CC}">
              <c16:uniqueId val="{00000027-34E8-4E25-845D-BC409DED3DA3}"/>
            </c:ext>
          </c:extLst>
        </c:ser>
        <c:ser>
          <c:idx val="27"/>
          <c:order val="27"/>
          <c:tx>
            <c:v>t=16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8-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16</c:v>
              </c:pt>
              <c:pt idx="1">
                <c:v>15.282549857324684</c:v>
              </c:pt>
            </c:numLit>
          </c:xVal>
          <c:yVal>
            <c:numLit>
              <c:formatCode>General</c:formatCode>
              <c:ptCount val="2"/>
              <c:pt idx="0">
                <c:v>0</c:v>
              </c:pt>
              <c:pt idx="1">
                <c:v>1.14129481899331E-2</c:v>
              </c:pt>
            </c:numLit>
          </c:yVal>
          <c:smooth val="0"/>
          <c:extLst>
            <c:ext xmlns:c16="http://schemas.microsoft.com/office/drawing/2014/chart" uri="{C3380CC4-5D6E-409C-BE32-E72D297353CC}">
              <c16:uniqueId val="{00000029-34E8-4E25-845D-BC409DED3DA3}"/>
            </c:ext>
          </c:extLst>
        </c:ser>
        <c:ser>
          <c:idx val="28"/>
          <c:order val="28"/>
          <c:tx>
            <c:v>t=17</c:v>
          </c:tx>
          <c:spPr>
            <a:ln w="3175">
              <a:solidFill>
                <a:srgbClr val="3366FF"/>
              </a:solidFill>
              <a:prstDash val="solid"/>
            </a:ln>
          </c:spPr>
          <c:marker>
            <c:symbol val="none"/>
          </c:marker>
          <c:xVal>
            <c:numLit>
              <c:formatCode>General</c:formatCode>
              <c:ptCount val="2"/>
              <c:pt idx="0">
                <c:v>17</c:v>
              </c:pt>
              <c:pt idx="1">
                <c:v>16.256975655314989</c:v>
              </c:pt>
            </c:numLit>
          </c:xVal>
          <c:yVal>
            <c:numLit>
              <c:formatCode>General</c:formatCode>
              <c:ptCount val="2"/>
              <c:pt idx="0">
                <c:v>0</c:v>
              </c:pt>
              <c:pt idx="1">
                <c:v>1.2177948692621701E-2</c:v>
              </c:pt>
            </c:numLit>
          </c:yVal>
          <c:smooth val="0"/>
          <c:extLst>
            <c:ext xmlns:c16="http://schemas.microsoft.com/office/drawing/2014/chart" uri="{C3380CC4-5D6E-409C-BE32-E72D297353CC}">
              <c16:uniqueId val="{0000002A-34E8-4E25-845D-BC409DED3DA3}"/>
            </c:ext>
          </c:extLst>
        </c:ser>
        <c:ser>
          <c:idx val="29"/>
          <c:order val="29"/>
          <c:tx>
            <c:v>t=18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18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B-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18</c:v>
              </c:pt>
              <c:pt idx="1">
                <c:v>17.231522100796575</c:v>
              </c:pt>
            </c:numLit>
          </c:xVal>
          <c:yVal>
            <c:numLit>
              <c:formatCode>General</c:formatCode>
              <c:ptCount val="2"/>
              <c:pt idx="0">
                <c:v>0</c:v>
              </c:pt>
              <c:pt idx="1">
                <c:v>1.29887225571009E-2</c:v>
              </c:pt>
            </c:numLit>
          </c:yVal>
          <c:smooth val="0"/>
          <c:extLst>
            <c:ext xmlns:c16="http://schemas.microsoft.com/office/drawing/2014/chart" uri="{C3380CC4-5D6E-409C-BE32-E72D297353CC}">
              <c16:uniqueId val="{0000002C-34E8-4E25-845D-BC409DED3DA3}"/>
            </c:ext>
          </c:extLst>
        </c:ser>
        <c:ser>
          <c:idx val="30"/>
          <c:order val="30"/>
          <c:tx>
            <c:v>t=19</c:v>
          </c:tx>
          <c:spPr>
            <a:ln w="3175">
              <a:solidFill>
                <a:srgbClr val="3366FF"/>
              </a:solidFill>
              <a:prstDash val="solid"/>
            </a:ln>
          </c:spPr>
          <c:marker>
            <c:symbol val="none"/>
          </c:marker>
          <c:xVal>
            <c:numLit>
              <c:formatCode>General</c:formatCode>
              <c:ptCount val="2"/>
              <c:pt idx="0">
                <c:v>19</c:v>
              </c:pt>
              <c:pt idx="1">
                <c:v>18.206302013385109</c:v>
              </c:pt>
            </c:numLit>
          </c:xVal>
          <c:yVal>
            <c:numLit>
              <c:formatCode>General</c:formatCode>
              <c:ptCount val="2"/>
              <c:pt idx="0">
                <c:v>0</c:v>
              </c:pt>
              <c:pt idx="1">
                <c:v>1.38477310880087E-2</c:v>
              </c:pt>
            </c:numLit>
          </c:yVal>
          <c:smooth val="0"/>
          <c:extLst>
            <c:ext xmlns:c16="http://schemas.microsoft.com/office/drawing/2014/chart" uri="{C3380CC4-5D6E-409C-BE32-E72D297353CC}">
              <c16:uniqueId val="{0000002D-34E8-4E25-845D-BC409DED3DA3}"/>
            </c:ext>
          </c:extLst>
        </c:ser>
        <c:ser>
          <c:idx val="31"/>
          <c:order val="31"/>
          <c:tx>
            <c:v>t=20</c:v>
          </c:tx>
          <c:spPr>
            <a:ln w="3175">
              <a:solidFill>
                <a:srgbClr val="3366FF"/>
              </a:solidFill>
              <a:prstDash val="solid"/>
            </a:ln>
          </c:spPr>
          <c:marker>
            <c:symbol val="none"/>
          </c:marker>
          <c:dLbls>
            <c:dLbl>
              <c:idx val="0"/>
              <c:layout>
                <c:manualLayout>
                  <c:x val="-1.5625000000000062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E-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c:v>
              </c:pt>
              <c:pt idx="1">
                <c:v>19.181439441292415</c:v>
              </c:pt>
            </c:numLit>
          </c:xVal>
          <c:yVal>
            <c:numLit>
              <c:formatCode>General</c:formatCode>
              <c:ptCount val="2"/>
              <c:pt idx="0">
                <c:v>0</c:v>
              </c:pt>
              <c:pt idx="1">
                <c:v>1.4757561327237099E-2</c:v>
              </c:pt>
            </c:numLit>
          </c:yVal>
          <c:smooth val="0"/>
          <c:extLst>
            <c:ext xmlns:c16="http://schemas.microsoft.com/office/drawing/2014/chart" uri="{C3380CC4-5D6E-409C-BE32-E72D297353CC}">
              <c16:uniqueId val="{0000002F-34E8-4E25-845D-BC409DED3DA3}"/>
            </c:ext>
          </c:extLst>
        </c:ser>
        <c:ser>
          <c:idx val="32"/>
          <c:order val="32"/>
          <c:tx>
            <c:v>t=21</c:v>
          </c:tx>
          <c:spPr>
            <a:ln w="3175">
              <a:solidFill>
                <a:srgbClr val="3366FF"/>
              </a:solidFill>
              <a:prstDash val="solid"/>
            </a:ln>
          </c:spPr>
          <c:marker>
            <c:symbol val="none"/>
          </c:marker>
          <c:xVal>
            <c:numLit>
              <c:formatCode>General</c:formatCode>
              <c:ptCount val="2"/>
              <c:pt idx="0">
                <c:v>21</c:v>
              </c:pt>
              <c:pt idx="1">
                <c:v>20.157070440615996</c:v>
              </c:pt>
            </c:numLit>
          </c:xVal>
          <c:yVal>
            <c:numLit>
              <c:formatCode>General</c:formatCode>
              <c:ptCount val="2"/>
              <c:pt idx="0">
                <c:v>0</c:v>
              </c:pt>
              <c:pt idx="1">
                <c:v>1.5720933198744999E-2</c:v>
              </c:pt>
            </c:numLit>
          </c:yVal>
          <c:smooth val="0"/>
          <c:extLst>
            <c:ext xmlns:c16="http://schemas.microsoft.com/office/drawing/2014/chart" uri="{C3380CC4-5D6E-409C-BE32-E72D297353CC}">
              <c16:uniqueId val="{00000030-34E8-4E25-845D-BC409DED3DA3}"/>
            </c:ext>
          </c:extLst>
        </c:ser>
        <c:ser>
          <c:idx val="33"/>
          <c:order val="33"/>
          <c:tx>
            <c:v>t=22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1-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22</c:v>
              </c:pt>
              <c:pt idx="1">
                <c:v>21.133343906124988</c:v>
              </c:pt>
            </c:numLit>
          </c:xVal>
          <c:yVal>
            <c:numLit>
              <c:formatCode>General</c:formatCode>
              <c:ptCount val="2"/>
              <c:pt idx="0">
                <c:v>0</c:v>
              </c:pt>
              <c:pt idx="1">
                <c:v>1.6740707189674801E-2</c:v>
              </c:pt>
            </c:numLit>
          </c:yVal>
          <c:smooth val="0"/>
          <c:extLst>
            <c:ext xmlns:c16="http://schemas.microsoft.com/office/drawing/2014/chart" uri="{C3380CC4-5D6E-409C-BE32-E72D297353CC}">
              <c16:uniqueId val="{00000032-34E8-4E25-845D-BC409DED3DA3}"/>
            </c:ext>
          </c:extLst>
        </c:ser>
        <c:ser>
          <c:idx val="34"/>
          <c:order val="34"/>
          <c:tx>
            <c:v>t=23</c:v>
          </c:tx>
          <c:spPr>
            <a:ln w="3175">
              <a:solidFill>
                <a:srgbClr val="3366FF"/>
              </a:solidFill>
              <a:prstDash val="solid"/>
            </a:ln>
          </c:spPr>
          <c:marker>
            <c:symbol val="none"/>
          </c:marker>
          <c:xVal>
            <c:numLit>
              <c:formatCode>General</c:formatCode>
              <c:ptCount val="2"/>
              <c:pt idx="0">
                <c:v>23</c:v>
              </c:pt>
              <c:pt idx="1">
                <c:v>22.110422457943038</c:v>
              </c:pt>
            </c:numLit>
          </c:xVal>
          <c:yVal>
            <c:numLit>
              <c:formatCode>General</c:formatCode>
              <c:ptCount val="2"/>
              <c:pt idx="0">
                <c:v>0</c:v>
              </c:pt>
              <c:pt idx="1">
                <c:v>1.7819892618663902E-2</c:v>
              </c:pt>
            </c:numLit>
          </c:yVal>
          <c:smooth val="0"/>
          <c:extLst>
            <c:ext xmlns:c16="http://schemas.microsoft.com/office/drawing/2014/chart" uri="{C3380CC4-5D6E-409C-BE32-E72D297353CC}">
              <c16:uniqueId val="{00000033-34E8-4E25-845D-BC409DED3DA3}"/>
            </c:ext>
          </c:extLst>
        </c:ser>
        <c:ser>
          <c:idx val="35"/>
          <c:order val="35"/>
          <c:tx>
            <c:v>t=24</c:v>
          </c:tx>
          <c:spPr>
            <a:ln w="3175">
              <a:solidFill>
                <a:srgbClr val="3366FF"/>
              </a:solidFill>
              <a:prstDash val="solid"/>
            </a:ln>
          </c:spPr>
          <c:marker>
            <c:symbol val="none"/>
          </c:marker>
          <c:dLbls>
            <c:dLbl>
              <c:idx val="0"/>
              <c:layout>
                <c:manualLayout>
                  <c:x val="-1.5625000000000062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4-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c:v>
              </c:pt>
              <c:pt idx="1">
                <c:v>23.088483389020521</c:v>
              </c:pt>
            </c:numLit>
          </c:xVal>
          <c:yVal>
            <c:numLit>
              <c:formatCode>General</c:formatCode>
              <c:ptCount val="2"/>
              <c:pt idx="0">
                <c:v>0</c:v>
              </c:pt>
              <c:pt idx="1">
                <c:v>1.8961656547670701E-2</c:v>
              </c:pt>
            </c:numLit>
          </c:yVal>
          <c:smooth val="0"/>
          <c:extLst>
            <c:ext xmlns:c16="http://schemas.microsoft.com/office/drawing/2014/chart" uri="{C3380CC4-5D6E-409C-BE32-E72D297353CC}">
              <c16:uniqueId val="{00000035-34E8-4E25-845D-BC409DED3DA3}"/>
            </c:ext>
          </c:extLst>
        </c:ser>
        <c:ser>
          <c:idx val="36"/>
          <c:order val="36"/>
          <c:tx>
            <c:v>t=25</c:v>
          </c:tx>
          <c:spPr>
            <a:ln w="3175">
              <a:solidFill>
                <a:srgbClr val="3366FF"/>
              </a:solidFill>
              <a:prstDash val="solid"/>
            </a:ln>
          </c:spPr>
          <c:marker>
            <c:symbol val="none"/>
          </c:marker>
          <c:xVal>
            <c:numLit>
              <c:formatCode>General</c:formatCode>
              <c:ptCount val="2"/>
              <c:pt idx="0">
                <c:v>25</c:v>
              </c:pt>
              <c:pt idx="1">
                <c:v>24.067719678840422</c:v>
              </c:pt>
            </c:numLit>
          </c:xVal>
          <c:yVal>
            <c:numLit>
              <c:formatCode>General</c:formatCode>
              <c:ptCount val="2"/>
              <c:pt idx="0">
                <c:v>0</c:v>
              </c:pt>
              <c:pt idx="1">
                <c:v>2.0169333399710401E-2</c:v>
              </c:pt>
            </c:numLit>
          </c:yVal>
          <c:smooth val="0"/>
          <c:extLst>
            <c:ext xmlns:c16="http://schemas.microsoft.com/office/drawing/2014/chart" uri="{C3380CC4-5D6E-409C-BE32-E72D297353CC}">
              <c16:uniqueId val="{00000036-34E8-4E25-845D-BC409DED3DA3}"/>
            </c:ext>
          </c:extLst>
        </c:ser>
        <c:ser>
          <c:idx val="37"/>
          <c:order val="37"/>
          <c:tx>
            <c:v>t=26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7-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26</c:v>
              </c:pt>
              <c:pt idx="1">
                <c:v>25.048321472690549</c:v>
              </c:pt>
            </c:numLit>
          </c:xVal>
          <c:yVal>
            <c:numLit>
              <c:formatCode>General</c:formatCode>
              <c:ptCount val="2"/>
              <c:pt idx="0">
                <c:v>0</c:v>
              </c:pt>
              <c:pt idx="1">
                <c:v>2.14468772059432E-2</c:v>
              </c:pt>
            </c:numLit>
          </c:yVal>
          <c:smooth val="0"/>
          <c:extLst>
            <c:ext xmlns:c16="http://schemas.microsoft.com/office/drawing/2014/chart" uri="{C3380CC4-5D6E-409C-BE32-E72D297353CC}">
              <c16:uniqueId val="{00000038-34E8-4E25-845D-BC409DED3DA3}"/>
            </c:ext>
          </c:extLst>
        </c:ser>
        <c:ser>
          <c:idx val="38"/>
          <c:order val="38"/>
          <c:tx>
            <c:v>t=27</c:v>
          </c:tx>
          <c:spPr>
            <a:ln w="3175">
              <a:solidFill>
                <a:srgbClr val="3366FF"/>
              </a:solidFill>
              <a:prstDash val="solid"/>
            </a:ln>
          </c:spPr>
          <c:marker>
            <c:symbol val="none"/>
          </c:marker>
          <c:xVal>
            <c:numLit>
              <c:formatCode>General</c:formatCode>
              <c:ptCount val="2"/>
              <c:pt idx="0">
                <c:v>27</c:v>
              </c:pt>
              <c:pt idx="1">
                <c:v>26.030535251824297</c:v>
              </c:pt>
            </c:numLit>
          </c:xVal>
          <c:yVal>
            <c:numLit>
              <c:formatCode>General</c:formatCode>
              <c:ptCount val="2"/>
              <c:pt idx="0">
                <c:v>0</c:v>
              </c:pt>
              <c:pt idx="1">
                <c:v>2.2797604877624101E-2</c:v>
              </c:pt>
            </c:numLit>
          </c:yVal>
          <c:smooth val="0"/>
          <c:extLst>
            <c:ext xmlns:c16="http://schemas.microsoft.com/office/drawing/2014/chart" uri="{C3380CC4-5D6E-409C-BE32-E72D297353CC}">
              <c16:uniqueId val="{00000039-34E8-4E25-845D-BC409DED3DA3}"/>
            </c:ext>
          </c:extLst>
        </c:ser>
        <c:ser>
          <c:idx val="39"/>
          <c:order val="39"/>
          <c:tx>
            <c:v>t=28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28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A-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28</c:v>
              </c:pt>
              <c:pt idx="1">
                <c:v>27.014607998719534</c:v>
              </c:pt>
            </c:numLit>
          </c:xVal>
          <c:yVal>
            <c:numLit>
              <c:formatCode>General</c:formatCode>
              <c:ptCount val="2"/>
              <c:pt idx="0">
                <c:v>0</c:v>
              </c:pt>
              <c:pt idx="1">
                <c:v>2.42254240784005E-2</c:v>
              </c:pt>
            </c:numLit>
          </c:yVal>
          <c:smooth val="0"/>
          <c:extLst>
            <c:ext xmlns:c16="http://schemas.microsoft.com/office/drawing/2014/chart" uri="{C3380CC4-5D6E-409C-BE32-E72D297353CC}">
              <c16:uniqueId val="{0000003B-34E8-4E25-845D-BC409DED3DA3}"/>
            </c:ext>
          </c:extLst>
        </c:ser>
        <c:ser>
          <c:idx val="40"/>
          <c:order val="40"/>
          <c:tx>
            <c:v>t=29</c:v>
          </c:tx>
          <c:spPr>
            <a:ln w="3175">
              <a:solidFill>
                <a:srgbClr val="3366FF"/>
              </a:solidFill>
              <a:prstDash val="solid"/>
            </a:ln>
          </c:spPr>
          <c:marker>
            <c:symbol val="none"/>
          </c:marker>
          <c:xVal>
            <c:numLit>
              <c:formatCode>General</c:formatCode>
              <c:ptCount val="2"/>
              <c:pt idx="0">
                <c:v>29</c:v>
              </c:pt>
              <c:pt idx="1">
                <c:v>28.000807254075738</c:v>
              </c:pt>
            </c:numLit>
          </c:xVal>
          <c:yVal>
            <c:numLit>
              <c:formatCode>General</c:formatCode>
              <c:ptCount val="2"/>
              <c:pt idx="0">
                <c:v>0</c:v>
              </c:pt>
              <c:pt idx="1">
                <c:v>2.5734457306702801E-2</c:v>
              </c:pt>
            </c:numLit>
          </c:yVal>
          <c:smooth val="0"/>
          <c:extLst>
            <c:ext xmlns:c16="http://schemas.microsoft.com/office/drawing/2014/chart" uri="{C3380CC4-5D6E-409C-BE32-E72D297353CC}">
              <c16:uniqueId val="{0000003C-34E8-4E25-845D-BC409DED3DA3}"/>
            </c:ext>
          </c:extLst>
        </c:ser>
        <c:ser>
          <c:idx val="41"/>
          <c:order val="41"/>
          <c:tx>
            <c:v>t=30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3D-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30</c:v>
              </c:pt>
              <c:pt idx="1">
                <c:v>28.989422570672435</c:v>
              </c:pt>
            </c:numLit>
          </c:xVal>
          <c:yVal>
            <c:numLit>
              <c:formatCode>General</c:formatCode>
              <c:ptCount val="2"/>
              <c:pt idx="0">
                <c:v>0</c:v>
              </c:pt>
              <c:pt idx="1">
                <c:v>2.73290562877294E-2</c:v>
              </c:pt>
            </c:numLit>
          </c:yVal>
          <c:smooth val="0"/>
          <c:extLst>
            <c:ext xmlns:c16="http://schemas.microsoft.com/office/drawing/2014/chart" uri="{C3380CC4-5D6E-409C-BE32-E72D297353CC}">
              <c16:uniqueId val="{0000003E-34E8-4E25-845D-BC409DED3DA3}"/>
            </c:ext>
          </c:extLst>
        </c:ser>
        <c:ser>
          <c:idx val="42"/>
          <c:order val="42"/>
          <c:tx>
            <c:v>t=31</c:v>
          </c:tx>
          <c:spPr>
            <a:ln w="3175">
              <a:solidFill>
                <a:srgbClr val="3366FF"/>
              </a:solidFill>
              <a:prstDash val="solid"/>
            </a:ln>
          </c:spPr>
          <c:marker>
            <c:symbol val="none"/>
          </c:marker>
          <c:xVal>
            <c:numLit>
              <c:formatCode>General</c:formatCode>
              <c:ptCount val="2"/>
              <c:pt idx="0">
                <c:v>31</c:v>
              </c:pt>
              <c:pt idx="1">
                <c:v>29.98076708258969</c:v>
              </c:pt>
            </c:numLit>
          </c:xVal>
          <c:yVal>
            <c:numLit>
              <c:formatCode>General</c:formatCode>
              <c:ptCount val="2"/>
              <c:pt idx="0">
                <c:v>0</c:v>
              </c:pt>
              <c:pt idx="1">
                <c:v>2.9013817626337601E-2</c:v>
              </c:pt>
            </c:numLit>
          </c:yVal>
          <c:smooth val="0"/>
          <c:extLst>
            <c:ext xmlns:c16="http://schemas.microsoft.com/office/drawing/2014/chart" uri="{C3380CC4-5D6E-409C-BE32-E72D297353CC}">
              <c16:uniqueId val="{0000003F-34E8-4E25-845D-BC409DED3DA3}"/>
            </c:ext>
          </c:extLst>
        </c:ser>
        <c:ser>
          <c:idx val="43"/>
          <c:order val="43"/>
          <c:tx>
            <c:v>t=32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0-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c:v>
              </c:pt>
              <c:pt idx="1">
                <c:v>30.975179201690683</c:v>
              </c:pt>
            </c:numLit>
          </c:xVal>
          <c:yVal>
            <c:numLit>
              <c:formatCode>General</c:formatCode>
              <c:ptCount val="2"/>
              <c:pt idx="0">
                <c:v>0</c:v>
              </c:pt>
              <c:pt idx="1">
                <c:v>3.0793599853619201E-2</c:v>
              </c:pt>
            </c:numLit>
          </c:yVal>
          <c:smooth val="0"/>
          <c:extLst>
            <c:ext xmlns:c16="http://schemas.microsoft.com/office/drawing/2014/chart" uri="{C3380CC4-5D6E-409C-BE32-E72D297353CC}">
              <c16:uniqueId val="{00000041-34E8-4E25-845D-BC409DED3DA3}"/>
            </c:ext>
          </c:extLst>
        </c:ser>
        <c:ser>
          <c:idx val="44"/>
          <c:order val="44"/>
          <c:tx>
            <c:v>t=33</c:v>
          </c:tx>
          <c:spPr>
            <a:ln w="3175">
              <a:solidFill>
                <a:srgbClr val="3366FF"/>
              </a:solidFill>
              <a:prstDash val="solid"/>
            </a:ln>
          </c:spPr>
          <c:marker>
            <c:symbol val="none"/>
          </c:marker>
          <c:xVal>
            <c:numLit>
              <c:formatCode>General</c:formatCode>
              <c:ptCount val="2"/>
              <c:pt idx="0">
                <c:v>33</c:v>
              </c:pt>
              <c:pt idx="1">
                <c:v>31.973024454731338</c:v>
              </c:pt>
            </c:numLit>
          </c:xVal>
          <c:yVal>
            <c:numLit>
              <c:formatCode>General</c:formatCode>
              <c:ptCount val="2"/>
              <c:pt idx="0">
                <c:v>0</c:v>
              </c:pt>
              <c:pt idx="1">
                <c:v>3.2673542015821698E-2</c:v>
              </c:pt>
            </c:numLit>
          </c:yVal>
          <c:smooth val="0"/>
          <c:extLst>
            <c:ext xmlns:c16="http://schemas.microsoft.com/office/drawing/2014/chart" uri="{C3380CC4-5D6E-409C-BE32-E72D297353CC}">
              <c16:uniqueId val="{00000042-34E8-4E25-845D-BC409DED3DA3}"/>
            </c:ext>
          </c:extLst>
        </c:ser>
        <c:ser>
          <c:idx val="45"/>
          <c:order val="45"/>
          <c:tx>
            <c:v>t=34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3-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c:v>
              </c:pt>
              <c:pt idx="1">
                <c:v>32.994194831013921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4-34E8-4E25-845D-BC409DED3DA3}"/>
            </c:ext>
          </c:extLst>
        </c:ser>
        <c:ser>
          <c:idx val="46"/>
          <c:order val="46"/>
          <c:tx>
            <c:v>t=35</c:v>
          </c:tx>
          <c:spPr>
            <a:ln w="3175">
              <a:solidFill>
                <a:srgbClr val="3366FF"/>
              </a:solidFill>
              <a:prstDash val="solid"/>
            </a:ln>
          </c:spPr>
          <c:marker>
            <c:symbol val="none"/>
          </c:marker>
          <c:xVal>
            <c:numLit>
              <c:formatCode>General</c:formatCode>
              <c:ptCount val="2"/>
              <c:pt idx="0">
                <c:v>35</c:v>
              </c:pt>
              <c:pt idx="1">
                <c:v>34.05705765407555</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5-34E8-4E25-845D-BC409DED3DA3}"/>
            </c:ext>
          </c:extLst>
        </c:ser>
        <c:ser>
          <c:idx val="47"/>
          <c:order val="47"/>
          <c:tx>
            <c:v>t=36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6-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36</c:v>
              </c:pt>
              <c:pt idx="1">
                <c:v>35.119920477137178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7-34E8-4E25-845D-BC409DED3DA3}"/>
            </c:ext>
          </c:extLst>
        </c:ser>
        <c:ser>
          <c:idx val="48"/>
          <c:order val="48"/>
          <c:tx>
            <c:v>t=37</c:v>
          </c:tx>
          <c:spPr>
            <a:ln w="3175">
              <a:solidFill>
                <a:srgbClr val="3366FF"/>
              </a:solidFill>
              <a:prstDash val="solid"/>
            </a:ln>
          </c:spPr>
          <c:marker>
            <c:symbol val="none"/>
          </c:marker>
          <c:xVal>
            <c:numLit>
              <c:formatCode>General</c:formatCode>
              <c:ptCount val="2"/>
              <c:pt idx="0">
                <c:v>37</c:v>
              </c:pt>
              <c:pt idx="1">
                <c:v>36.182783300198807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8-34E8-4E25-845D-BC409DED3DA3}"/>
            </c:ext>
          </c:extLst>
        </c:ser>
        <c:ser>
          <c:idx val="49"/>
          <c:order val="49"/>
          <c:tx>
            <c:v>t=38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38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9-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c:v>
              </c:pt>
              <c:pt idx="1">
                <c:v>37.245646123260443</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A-34E8-4E25-845D-BC409DED3DA3}"/>
            </c:ext>
          </c:extLst>
        </c:ser>
        <c:ser>
          <c:idx val="50"/>
          <c:order val="50"/>
          <c:tx>
            <c:v>t=39</c:v>
          </c:tx>
          <c:spPr>
            <a:ln w="3175">
              <a:solidFill>
                <a:srgbClr val="3366FF"/>
              </a:solidFill>
              <a:prstDash val="solid"/>
            </a:ln>
          </c:spPr>
          <c:marker>
            <c:symbol val="none"/>
          </c:marker>
          <c:xVal>
            <c:numLit>
              <c:formatCode>General</c:formatCode>
              <c:ptCount val="2"/>
              <c:pt idx="0">
                <c:v>39</c:v>
              </c:pt>
              <c:pt idx="1">
                <c:v>38.308508946322071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B-34E8-4E25-845D-BC409DED3DA3}"/>
            </c:ext>
          </c:extLst>
        </c:ser>
        <c:ser>
          <c:idx val="51"/>
          <c:order val="51"/>
          <c:tx>
            <c:v>t=40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C-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40</c:v>
              </c:pt>
              <c:pt idx="1">
                <c:v>39.3713717693837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D-34E8-4E25-845D-BC409DED3DA3}"/>
            </c:ext>
          </c:extLst>
        </c:ser>
        <c:ser>
          <c:idx val="52"/>
          <c:order val="52"/>
          <c:tx>
            <c:v>t=41</c:v>
          </c:tx>
          <c:spPr>
            <a:ln w="3175">
              <a:solidFill>
                <a:srgbClr val="3366FF"/>
              </a:solidFill>
              <a:prstDash val="solid"/>
            </a:ln>
          </c:spPr>
          <c:marker>
            <c:symbol val="none"/>
          </c:marker>
          <c:xVal>
            <c:numLit>
              <c:formatCode>General</c:formatCode>
              <c:ptCount val="2"/>
              <c:pt idx="0">
                <c:v>41</c:v>
              </c:pt>
              <c:pt idx="1">
                <c:v>40.434234592445328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4E-34E8-4E25-845D-BC409DED3DA3}"/>
            </c:ext>
          </c:extLst>
        </c:ser>
        <c:ser>
          <c:idx val="53"/>
          <c:order val="53"/>
          <c:tx>
            <c:v>t=42</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4F-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c:v>
              </c:pt>
              <c:pt idx="1">
                <c:v>41.497097415506957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0-34E8-4E25-845D-BC409DED3DA3}"/>
            </c:ext>
          </c:extLst>
        </c:ser>
        <c:ser>
          <c:idx val="54"/>
          <c:order val="54"/>
          <c:tx>
            <c:v>t=43</c:v>
          </c:tx>
          <c:spPr>
            <a:ln w="3175">
              <a:solidFill>
                <a:srgbClr val="3366FF"/>
              </a:solidFill>
              <a:prstDash val="solid"/>
            </a:ln>
          </c:spPr>
          <c:marker>
            <c:symbol val="none"/>
          </c:marker>
          <c:xVal>
            <c:numLit>
              <c:formatCode>General</c:formatCode>
              <c:ptCount val="2"/>
              <c:pt idx="0">
                <c:v>43</c:v>
              </c:pt>
              <c:pt idx="1">
                <c:v>42.559960238568586</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1-34E8-4E25-845D-BC409DED3DA3}"/>
            </c:ext>
          </c:extLst>
        </c:ser>
        <c:ser>
          <c:idx val="55"/>
          <c:order val="55"/>
          <c:tx>
            <c:v>t=44</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2-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44</c:v>
              </c:pt>
              <c:pt idx="1">
                <c:v>43.622823061630221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3-34E8-4E25-845D-BC409DED3DA3}"/>
            </c:ext>
          </c:extLst>
        </c:ser>
        <c:ser>
          <c:idx val="56"/>
          <c:order val="56"/>
          <c:tx>
            <c:v>t=45</c:v>
          </c:tx>
          <c:spPr>
            <a:ln w="3175">
              <a:solidFill>
                <a:srgbClr val="3366FF"/>
              </a:solidFill>
              <a:prstDash val="solid"/>
            </a:ln>
          </c:spPr>
          <c:marker>
            <c:symbol val="none"/>
          </c:marker>
          <c:xVal>
            <c:numLit>
              <c:formatCode>General</c:formatCode>
              <c:ptCount val="2"/>
              <c:pt idx="0">
                <c:v>45</c:v>
              </c:pt>
              <c:pt idx="1">
                <c:v>44.68568588469185</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4-34E8-4E25-845D-BC409DED3DA3}"/>
            </c:ext>
          </c:extLst>
        </c:ser>
        <c:ser>
          <c:idx val="57"/>
          <c:order val="57"/>
          <c:tx>
            <c:v>t=46</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5-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46</c:v>
              </c:pt>
              <c:pt idx="1">
                <c:v>45.748548707753478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6-34E8-4E25-845D-BC409DED3DA3}"/>
            </c:ext>
          </c:extLst>
        </c:ser>
        <c:ser>
          <c:idx val="58"/>
          <c:order val="58"/>
          <c:tx>
            <c:v>t=47</c:v>
          </c:tx>
          <c:spPr>
            <a:ln w="3175">
              <a:solidFill>
                <a:srgbClr val="3366FF"/>
              </a:solidFill>
              <a:prstDash val="solid"/>
            </a:ln>
          </c:spPr>
          <c:marker>
            <c:symbol val="none"/>
          </c:marker>
          <c:xVal>
            <c:numLit>
              <c:formatCode>General</c:formatCode>
              <c:ptCount val="2"/>
              <c:pt idx="0">
                <c:v>47</c:v>
              </c:pt>
              <c:pt idx="1">
                <c:v>46.811411530815114</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7-34E8-4E25-845D-BC409DED3DA3}"/>
            </c:ext>
          </c:extLst>
        </c:ser>
        <c:ser>
          <c:idx val="59"/>
          <c:order val="59"/>
          <c:tx>
            <c:v>t=48</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48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8-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48</c:v>
              </c:pt>
              <c:pt idx="1">
                <c:v>47.874274353876743</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9-34E8-4E25-845D-BC409DED3DA3}"/>
            </c:ext>
          </c:extLst>
        </c:ser>
        <c:ser>
          <c:idx val="60"/>
          <c:order val="60"/>
          <c:tx>
            <c:v>t=49</c:v>
          </c:tx>
          <c:spPr>
            <a:ln w="3175">
              <a:solidFill>
                <a:srgbClr val="3366FF"/>
              </a:solidFill>
              <a:prstDash val="solid"/>
            </a:ln>
          </c:spPr>
          <c:marker>
            <c:symbol val="none"/>
          </c:marker>
          <c:xVal>
            <c:numLit>
              <c:formatCode>General</c:formatCode>
              <c:ptCount val="2"/>
              <c:pt idx="0">
                <c:v>49</c:v>
              </c:pt>
              <c:pt idx="1">
                <c:v>48.937137176938371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A-34E8-4E25-845D-BC409DED3DA3}"/>
            </c:ext>
          </c:extLst>
        </c:ser>
        <c:ser>
          <c:idx val="61"/>
          <c:order val="61"/>
          <c:tx>
            <c:v>t=50</c:v>
          </c:tx>
          <c:spPr>
            <a:ln w="3175">
              <a:solidFill>
                <a:srgbClr val="3366FF"/>
              </a:solidFill>
              <a:prstDash val="solid"/>
            </a:ln>
          </c:spPr>
          <c:marker>
            <c:symbol val="none"/>
          </c:marker>
          <c:dLbls>
            <c:dLbl>
              <c:idx val="0"/>
              <c:layout>
                <c:manualLayout>
                  <c:x val="-1.5625E-2"/>
                  <c:y val="1.3995726495726496E-2"/>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50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B-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50</c:v>
              </c:pt>
              <c:pt idx="1">
                <c:v>50.000000000000007</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C-34E8-4E25-845D-BC409DED3DA3}"/>
            </c:ext>
          </c:extLst>
        </c:ser>
        <c:ser>
          <c:idx val="62"/>
          <c:order val="62"/>
          <c:tx>
            <c:v/>
          </c:tx>
          <c:spPr>
            <a:ln w="3175">
              <a:solidFill>
                <a:srgbClr val="000000"/>
              </a:solidFill>
              <a:prstDash val="solid"/>
            </a:ln>
          </c:spPr>
          <c:marker>
            <c:symbol val="none"/>
          </c:marker>
          <c:xVal>
            <c:numLit>
              <c:formatCode>General</c:formatCode>
              <c:ptCount val="2"/>
              <c:pt idx="0">
                <c:v>-10.178000000000001</c:v>
              </c:pt>
              <c:pt idx="1">
                <c:v>-10.178000000000001</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D-34E8-4E25-845D-BC409DED3DA3}"/>
            </c:ext>
          </c:extLst>
        </c:ser>
        <c:ser>
          <c:idx val="63"/>
          <c:order val="63"/>
          <c:tx>
            <c:v/>
          </c:tx>
          <c:spPr>
            <a:ln w="3175">
              <a:solidFill>
                <a:srgbClr val="000000"/>
              </a:solidFill>
              <a:prstDash val="solid"/>
            </a:ln>
          </c:spPr>
          <c:marker>
            <c:symbol val="none"/>
          </c:marker>
          <c:xVal>
            <c:numLit>
              <c:formatCode>General</c:formatCode>
              <c:ptCount val="2"/>
              <c:pt idx="0">
                <c:v>50.8</c:v>
              </c:pt>
              <c:pt idx="1">
                <c:v>50.8</c:v>
              </c:pt>
            </c:numLit>
          </c:xVal>
          <c:yVal>
            <c:numLit>
              <c:formatCode>General</c:formatCode>
              <c:ptCount val="2"/>
              <c:pt idx="0">
                <c:v>0</c:v>
              </c:pt>
              <c:pt idx="1">
                <c:v>3.4000000000000002E-2</c:v>
              </c:pt>
            </c:numLit>
          </c:yVal>
          <c:smooth val="0"/>
          <c:extLst>
            <c:ext xmlns:c16="http://schemas.microsoft.com/office/drawing/2014/chart" uri="{C3380CC4-5D6E-409C-BE32-E72D297353CC}">
              <c16:uniqueId val="{0000005E-34E8-4E25-845D-BC409DED3DA3}"/>
            </c:ext>
          </c:extLst>
        </c:ser>
        <c:ser>
          <c:idx val="64"/>
          <c:order val="64"/>
          <c:tx>
            <c:v>乾球温度座標軸ラベル</c:v>
          </c:tx>
          <c:spPr>
            <a:ln w="3175">
              <a:solidFill>
                <a:srgbClr val="000000"/>
              </a:solidFill>
              <a:prstDash val="solid"/>
            </a:ln>
          </c:spPr>
          <c:marker>
            <c:symbol val="none"/>
          </c:marker>
          <c:dLbls>
            <c:dLbl>
              <c:idx val="0"/>
              <c:layout>
                <c:manualLayout>
                  <c:x val="-5.8711040026246782E-2"/>
                  <c:y val="2.6068376068376069E-2"/>
                </c:manualLayout>
              </c:layout>
              <c:tx>
                <c:rich>
                  <a:bodyPr rot="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乾球温度 </a:t>
                    </a:r>
                    <a:r>
                      <a:rPr lang="en-US"/>
                      <a:t>t[℃]</a:t>
                    </a:r>
                  </a:p>
                </c:rich>
              </c:tx>
              <c:spPr>
                <a:solidFill>
                  <a:srgbClr val="FFFFFF"/>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5F-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22</c:v>
              </c:pt>
            </c:numLit>
          </c:xVal>
          <c:yVal>
            <c:numLit>
              <c:formatCode>General</c:formatCode>
              <c:ptCount val="1"/>
              <c:pt idx="0">
                <c:v>-3.3333333333333332E-4</c:v>
              </c:pt>
            </c:numLit>
          </c:yVal>
          <c:smooth val="0"/>
          <c:extLst>
            <c:ext xmlns:c16="http://schemas.microsoft.com/office/drawing/2014/chart" uri="{C3380CC4-5D6E-409C-BE32-E72D297353CC}">
              <c16:uniqueId val="{00000060-34E8-4E25-845D-BC409DED3DA3}"/>
            </c:ext>
          </c:extLst>
        </c:ser>
        <c:ser>
          <c:idx val="65"/>
          <c:order val="65"/>
          <c:tx>
            <c:v>v=0.74</c:v>
          </c:tx>
          <c:spPr>
            <a:ln w="3175">
              <a:solidFill>
                <a:srgbClr val="008000"/>
              </a:solidFill>
              <a:prstDash val="sysDash"/>
            </a:ln>
          </c:spPr>
          <c:marker>
            <c:symbol val="none"/>
          </c:marker>
          <c:dLbls>
            <c:dLbl>
              <c:idx val="0"/>
              <c:layout>
                <c:manualLayout>
                  <c:x val="5.208333333333333E-3"/>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1-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-10.87888259336189</c:v>
              </c:pt>
              <c:pt idx="1">
                <c:v>-12.628490335598311</c:v>
              </c:pt>
            </c:numLit>
          </c:xVal>
          <c:yVal>
            <c:numLit>
              <c:formatCode>General</c:formatCode>
              <c:ptCount val="2"/>
              <c:pt idx="0">
                <c:v>-2E-3</c:v>
              </c:pt>
              <c:pt idx="1">
                <c:v>1.2854115692238809E-3</c:v>
              </c:pt>
            </c:numLit>
          </c:yVal>
          <c:smooth val="0"/>
          <c:extLst>
            <c:ext xmlns:c16="http://schemas.microsoft.com/office/drawing/2014/chart" uri="{C3380CC4-5D6E-409C-BE32-E72D297353CC}">
              <c16:uniqueId val="{00000062-34E8-4E25-845D-BC409DED3DA3}"/>
            </c:ext>
          </c:extLst>
        </c:ser>
        <c:ser>
          <c:idx val="66"/>
          <c:order val="66"/>
          <c:tx>
            <c:v>v=0.75</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0.75</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3-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-7.3456505041290487</c:v>
              </c:pt>
              <c:pt idx="1">
                <c:v>-9.3394034382111641</c:v>
              </c:pt>
            </c:numLit>
          </c:xVal>
          <c:yVal>
            <c:numLit>
              <c:formatCode>General</c:formatCode>
              <c:ptCount val="2"/>
              <c:pt idx="0">
                <c:v>-2E-3</c:v>
              </c:pt>
              <c:pt idx="1">
                <c:v>1.731881391763524E-3</c:v>
              </c:pt>
            </c:numLit>
          </c:yVal>
          <c:smooth val="0"/>
          <c:extLst>
            <c:ext xmlns:c16="http://schemas.microsoft.com/office/drawing/2014/chart" uri="{C3380CC4-5D6E-409C-BE32-E72D297353CC}">
              <c16:uniqueId val="{00000064-34E8-4E25-845D-BC409DED3DA3}"/>
            </c:ext>
          </c:extLst>
        </c:ser>
        <c:ser>
          <c:idx val="67"/>
          <c:order val="67"/>
          <c:tx>
            <c:v>v=0.76</c:v>
          </c:tx>
          <c:spPr>
            <a:ln w="3175">
              <a:solidFill>
                <a:srgbClr val="008000"/>
              </a:solidFill>
              <a:prstDash val="sysDash"/>
            </a:ln>
          </c:spPr>
          <c:marker>
            <c:symbol val="none"/>
          </c:marker>
          <c:dLbls>
            <c:dLbl>
              <c:idx val="0"/>
              <c:layout>
                <c:manualLayout>
                  <c:x val="-2.0516595581802289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5-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-3.8136879415229381</c:v>
              </c:pt>
              <c:pt idx="1">
                <c:v>-6.11811823965781</c:v>
              </c:pt>
            </c:numLit>
          </c:xVal>
          <c:yVal>
            <c:numLit>
              <c:formatCode>General</c:formatCode>
              <c:ptCount val="2"/>
              <c:pt idx="0">
                <c:v>-2E-3</c:v>
              </c:pt>
              <c:pt idx="1">
                <c:v>2.3047366197127134E-3</c:v>
              </c:pt>
            </c:numLit>
          </c:yVal>
          <c:smooth val="0"/>
          <c:extLst>
            <c:ext xmlns:c16="http://schemas.microsoft.com/office/drawing/2014/chart" uri="{C3380CC4-5D6E-409C-BE32-E72D297353CC}">
              <c16:uniqueId val="{00000066-34E8-4E25-845D-BC409DED3DA3}"/>
            </c:ext>
          </c:extLst>
        </c:ser>
        <c:ser>
          <c:idx val="68"/>
          <c:order val="68"/>
          <c:tx>
            <c:v>v=0.77</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0.77</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7-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-0.29183335256660781</c:v>
              </c:pt>
              <c:pt idx="1">
                <c:v>-2.9651936709573241</c:v>
              </c:pt>
            </c:numLit>
          </c:xVal>
          <c:yVal>
            <c:numLit>
              <c:formatCode>General</c:formatCode>
              <c:ptCount val="2"/>
              <c:pt idx="0">
                <c:v>-2E-3</c:v>
              </c:pt>
              <c:pt idx="1">
                <c:v>3.0312988865860667E-3</c:v>
              </c:pt>
            </c:numLit>
          </c:yVal>
          <c:smooth val="0"/>
          <c:extLst>
            <c:ext xmlns:c16="http://schemas.microsoft.com/office/drawing/2014/chart" uri="{C3380CC4-5D6E-409C-BE32-E72D297353CC}">
              <c16:uniqueId val="{00000068-34E8-4E25-845D-BC409DED3DA3}"/>
            </c:ext>
          </c:extLst>
        </c:ser>
        <c:ser>
          <c:idx val="69"/>
          <c:order val="69"/>
          <c:tx>
            <c:v>v=0.78</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9-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3.2338045395703254</c:v>
              </c:pt>
              <c:pt idx="1">
                <c:v>0.10102325173063519</c:v>
              </c:pt>
            </c:numLit>
          </c:xVal>
          <c:yVal>
            <c:numLit>
              <c:formatCode>General</c:formatCode>
              <c:ptCount val="2"/>
              <c:pt idx="0">
                <c:v>-2E-3</c:v>
              </c:pt>
              <c:pt idx="1">
                <c:v>3.9191812932634108E-3</c:v>
              </c:pt>
            </c:numLit>
          </c:yVal>
          <c:smooth val="0"/>
          <c:extLst>
            <c:ext xmlns:c16="http://schemas.microsoft.com/office/drawing/2014/chart" uri="{C3380CC4-5D6E-409C-BE32-E72D297353CC}">
              <c16:uniqueId val="{0000006A-34E8-4E25-845D-BC409DED3DA3}"/>
            </c:ext>
          </c:extLst>
        </c:ser>
        <c:ser>
          <c:idx val="70"/>
          <c:order val="70"/>
          <c:tx>
            <c:v>v=0.79</c:v>
          </c:tx>
          <c:spPr>
            <a:ln w="3175">
              <a:solidFill>
                <a:srgbClr val="008000"/>
              </a:solidFill>
              <a:prstDash val="sysDash"/>
            </a:ln>
          </c:spPr>
          <c:marker>
            <c:symbol val="none"/>
          </c:marker>
          <c:dLbls>
            <c:dLbl>
              <c:idx val="0"/>
              <c:layout>
                <c:manualLayout>
                  <c:x val="-2.0516595581802244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0.79</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B-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6.7669107615188357</c:v>
              </c:pt>
              <c:pt idx="1">
                <c:v>3.1100301717749042</c:v>
              </c:pt>
            </c:numLit>
          </c:xVal>
          <c:yVal>
            <c:numLit>
              <c:formatCode>General</c:formatCode>
              <c:ptCount val="2"/>
              <c:pt idx="0">
                <c:v>-2E-3</c:v>
              </c:pt>
              <c:pt idx="1">
                <c:v>4.8879916421329331E-3</c:v>
              </c:pt>
            </c:numLit>
          </c:yVal>
          <c:smooth val="0"/>
          <c:extLst>
            <c:ext xmlns:c16="http://schemas.microsoft.com/office/drawing/2014/chart" uri="{C3380CC4-5D6E-409C-BE32-E72D297353CC}">
              <c16:uniqueId val="{0000006C-34E8-4E25-845D-BC409DED3DA3}"/>
            </c:ext>
          </c:extLst>
        </c:ser>
        <c:ser>
          <c:idx val="71"/>
          <c:order val="71"/>
          <c:tx>
            <c:v>v=0.80</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D-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10.291888512116756</c:v>
              </c:pt>
              <c:pt idx="1">
                <c:v>6.0448623724096775</c:v>
              </c:pt>
            </c:numLit>
          </c:xVal>
          <c:yVal>
            <c:numLit>
              <c:formatCode>General</c:formatCode>
              <c:ptCount val="2"/>
              <c:pt idx="0">
                <c:v>-2E-3</c:v>
              </c:pt>
              <c:pt idx="1">
                <c:v>6.0361546259299547E-3</c:v>
              </c:pt>
            </c:numLit>
          </c:yVal>
          <c:smooth val="0"/>
          <c:extLst>
            <c:ext xmlns:c16="http://schemas.microsoft.com/office/drawing/2014/chart" uri="{C3380CC4-5D6E-409C-BE32-E72D297353CC}">
              <c16:uniqueId val="{0000006E-34E8-4E25-845D-BC409DED3DA3}"/>
            </c:ext>
          </c:extLst>
        </c:ser>
        <c:ser>
          <c:idx val="72"/>
          <c:order val="72"/>
          <c:tx>
            <c:v>v=0.81</c:v>
          </c:tx>
          <c:spPr>
            <a:ln w="3175">
              <a:solidFill>
                <a:srgbClr val="008000"/>
              </a:solidFill>
              <a:prstDash val="sysDash"/>
            </a:ln>
          </c:spPr>
          <c:marker>
            <c:symbol val="none"/>
          </c:marker>
          <c:dLbls>
            <c:dLbl>
              <c:idx val="0"/>
              <c:layout>
                <c:manualLayout>
                  <c:x val="-2.0516595581802338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0.81</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6F-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13.823112940844542</c:v>
              </c:pt>
              <c:pt idx="1">
                <c:v>8.867451378580812</c:v>
              </c:pt>
            </c:numLit>
          </c:xVal>
          <c:yVal>
            <c:numLit>
              <c:formatCode>General</c:formatCode>
              <c:ptCount val="2"/>
              <c:pt idx="0">
                <c:v>-2E-3</c:v>
              </c:pt>
              <c:pt idx="1">
                <c:v>7.3645038493948276E-3</c:v>
              </c:pt>
            </c:numLit>
          </c:yVal>
          <c:smooth val="0"/>
          <c:extLst>
            <c:ext xmlns:c16="http://schemas.microsoft.com/office/drawing/2014/chart" uri="{C3380CC4-5D6E-409C-BE32-E72D297353CC}">
              <c16:uniqueId val="{00000070-34E8-4E25-845D-BC409DED3DA3}"/>
            </c:ext>
          </c:extLst>
        </c:ser>
        <c:ser>
          <c:idx val="73"/>
          <c:order val="73"/>
          <c:tx>
            <c:v>v=0.82</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0.82</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1-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17.353238150097972</c:v>
              </c:pt>
              <c:pt idx="1">
                <c:v>11.588895694540497</c:v>
              </c:pt>
            </c:numLit>
          </c:xVal>
          <c:yVal>
            <c:numLit>
              <c:formatCode>General</c:formatCode>
              <c:ptCount val="2"/>
              <c:pt idx="0">
                <c:v>-2E-3</c:v>
              </c:pt>
              <c:pt idx="1">
                <c:v>8.8894048219540917E-3</c:v>
              </c:pt>
            </c:numLit>
          </c:yVal>
          <c:smooth val="0"/>
          <c:extLst>
            <c:ext xmlns:c16="http://schemas.microsoft.com/office/drawing/2014/chart" uri="{C3380CC4-5D6E-409C-BE32-E72D297353CC}">
              <c16:uniqueId val="{00000072-34E8-4E25-845D-BC409DED3DA3}"/>
            </c:ext>
          </c:extLst>
        </c:ser>
        <c:ser>
          <c:idx val="74"/>
          <c:order val="74"/>
          <c:tx>
            <c:v>v=0.83</c:v>
          </c:tx>
          <c:spPr>
            <a:ln w="3175">
              <a:solidFill>
                <a:srgbClr val="008000"/>
              </a:solidFill>
              <a:prstDash val="sysDash"/>
            </a:ln>
          </c:spPr>
          <c:marker>
            <c:symbol val="none"/>
          </c:marker>
          <c:dLbls>
            <c:dLbl>
              <c:idx val="0"/>
              <c:layout>
                <c:manualLayout>
                  <c:x val="-2.0516595581802338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0.83</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3-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20.881374633710006</c:v>
              </c:pt>
              <c:pt idx="1">
                <c:v>14.210699001374479</c:v>
              </c:pt>
            </c:numLit>
          </c:xVal>
          <c:yVal>
            <c:numLit>
              <c:formatCode>General</c:formatCode>
              <c:ptCount val="2"/>
              <c:pt idx="0">
                <c:v>-2E-3</c:v>
              </c:pt>
              <c:pt idx="1">
                <c:v>1.0621523827731447E-2</c:v>
              </c:pt>
            </c:numLit>
          </c:yVal>
          <c:smooth val="0"/>
          <c:extLst>
            <c:ext xmlns:c16="http://schemas.microsoft.com/office/drawing/2014/chart" uri="{C3380CC4-5D6E-409C-BE32-E72D297353CC}">
              <c16:uniqueId val="{00000074-34E8-4E25-845D-BC409DED3DA3}"/>
            </c:ext>
          </c:extLst>
        </c:ser>
        <c:ser>
          <c:idx val="75"/>
          <c:order val="75"/>
          <c:tx>
            <c:v>v=0.84</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0.84</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5-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24.407457429719113</c:v>
              </c:pt>
              <c:pt idx="1">
                <c:v>16.734481591505482</c:v>
              </c:pt>
            </c:numLit>
          </c:xVal>
          <c:yVal>
            <c:numLit>
              <c:formatCode>General</c:formatCode>
              <c:ptCount val="2"/>
              <c:pt idx="0">
                <c:v>-2E-3</c:v>
              </c:pt>
              <c:pt idx="1">
                <c:v>1.2569358624897643E-2</c:v>
              </c:pt>
            </c:numLit>
          </c:yVal>
          <c:smooth val="0"/>
          <c:extLst>
            <c:ext xmlns:c16="http://schemas.microsoft.com/office/drawing/2014/chart" uri="{C3380CC4-5D6E-409C-BE32-E72D297353CC}">
              <c16:uniqueId val="{00000076-34E8-4E25-845D-BC409DED3DA3}"/>
            </c:ext>
          </c:extLst>
        </c:ser>
        <c:ser>
          <c:idx val="76"/>
          <c:order val="76"/>
          <c:tx>
            <c:v>v=0.85</c:v>
          </c:tx>
          <c:spPr>
            <a:ln w="3175">
              <a:solidFill>
                <a:srgbClr val="008000"/>
              </a:solidFill>
              <a:prstDash val="sysDash"/>
            </a:ln>
          </c:spPr>
          <c:marker>
            <c:symbol val="none"/>
          </c:marker>
          <c:dLbls>
            <c:dLbl>
              <c:idx val="0"/>
              <c:layout>
                <c:manualLayout>
                  <c:x val="-2.0516595581802403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0.85</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7-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27.937787614952313</c:v>
              </c:pt>
              <c:pt idx="1">
                <c:v>19.132672029144601</c:v>
              </c:pt>
            </c:numLit>
          </c:xVal>
          <c:yVal>
            <c:numLit>
              <c:formatCode>General</c:formatCode>
              <c:ptCount val="2"/>
              <c:pt idx="0">
                <c:v>-2E-3</c:v>
              </c:pt>
              <c:pt idx="1">
                <c:v>1.4710821367264768E-2</c:v>
              </c:pt>
            </c:numLit>
          </c:yVal>
          <c:smooth val="0"/>
          <c:extLst>
            <c:ext xmlns:c16="http://schemas.microsoft.com/office/drawing/2014/chart" uri="{C3380CC4-5D6E-409C-BE32-E72D297353CC}">
              <c16:uniqueId val="{00000078-34E8-4E25-845D-BC409DED3DA3}"/>
            </c:ext>
          </c:extLst>
        </c:ser>
        <c:ser>
          <c:idx val="77"/>
          <c:order val="77"/>
          <c:tx>
            <c:v>v=0.86</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0.86</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9-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31.46571454621801</c:v>
              </c:pt>
              <c:pt idx="1">
                <c:v>21.436144171835288</c:v>
              </c:pt>
            </c:numLit>
          </c:xVal>
          <c:yVal>
            <c:numLit>
              <c:formatCode>General</c:formatCode>
              <c:ptCount val="2"/>
              <c:pt idx="0">
                <c:v>-2E-3</c:v>
              </c:pt>
              <c:pt idx="1">
                <c:v>1.7068755909972859E-2</c:v>
              </c:pt>
            </c:numLit>
          </c:yVal>
          <c:smooth val="0"/>
          <c:extLst>
            <c:ext xmlns:c16="http://schemas.microsoft.com/office/drawing/2014/chart" uri="{C3380CC4-5D6E-409C-BE32-E72D297353CC}">
              <c16:uniqueId val="{0000007A-34E8-4E25-845D-BC409DED3DA3}"/>
            </c:ext>
          </c:extLst>
        </c:ser>
        <c:ser>
          <c:idx val="78"/>
          <c:order val="78"/>
          <c:tx>
            <c:v>v=0.87</c:v>
          </c:tx>
          <c:spPr>
            <a:ln w="3175">
              <a:solidFill>
                <a:srgbClr val="008000"/>
              </a:solidFill>
              <a:prstDash val="sysDash"/>
            </a:ln>
          </c:spPr>
          <c:marker>
            <c:symbol val="none"/>
          </c:marker>
          <c:dLbls>
            <c:dLbl>
              <c:idx val="0"/>
              <c:layout>
                <c:manualLayout>
                  <c:x val="-2.0516595581802403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0.87</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B-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34.99537194946226</c:v>
              </c:pt>
              <c:pt idx="1">
                <c:v>23.626904888872556</c:v>
              </c:pt>
            </c:numLit>
          </c:xVal>
          <c:yVal>
            <c:numLit>
              <c:formatCode>General</c:formatCode>
              <c:ptCount val="2"/>
              <c:pt idx="0">
                <c:v>-2E-3</c:v>
              </c:pt>
              <c:pt idx="1">
                <c:v>1.9617501780725587E-2</c:v>
              </c:pt>
            </c:numLit>
          </c:yVal>
          <c:smooth val="0"/>
          <c:extLst>
            <c:ext xmlns:c16="http://schemas.microsoft.com/office/drawing/2014/chart" uri="{C3380CC4-5D6E-409C-BE32-E72D297353CC}">
              <c16:uniqueId val="{0000007C-34E8-4E25-845D-BC409DED3DA3}"/>
            </c:ext>
          </c:extLst>
        </c:ser>
        <c:ser>
          <c:idx val="79"/>
          <c:order val="79"/>
          <c:tx>
            <c:v>v=0.88</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0.88</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D-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38.523655082964233</c:v>
              </c:pt>
              <c:pt idx="1">
                <c:v>25.725862091077921</c:v>
              </c:pt>
            </c:numLit>
          </c:xVal>
          <c:yVal>
            <c:numLit>
              <c:formatCode>General</c:formatCode>
              <c:ptCount val="2"/>
              <c:pt idx="0">
                <c:v>-2E-3</c:v>
              </c:pt>
              <c:pt idx="1">
                <c:v>2.237082096787146E-2</c:v>
              </c:pt>
            </c:numLit>
          </c:yVal>
          <c:smooth val="0"/>
          <c:extLst>
            <c:ext xmlns:c16="http://schemas.microsoft.com/office/drawing/2014/chart" uri="{C3380CC4-5D6E-409C-BE32-E72D297353CC}">
              <c16:uniqueId val="{0000007E-34E8-4E25-845D-BC409DED3DA3}"/>
            </c:ext>
          </c:extLst>
        </c:ser>
        <c:ser>
          <c:idx val="80"/>
          <c:order val="80"/>
          <c:tx>
            <c:v>v=0.89</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0.89</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7F-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42.052771246885719</c:v>
              </c:pt>
              <c:pt idx="1">
                <c:v>27.72444079909096</c:v>
              </c:pt>
            </c:numLit>
          </c:xVal>
          <c:yVal>
            <c:numLit>
              <c:formatCode>General</c:formatCode>
              <c:ptCount val="2"/>
              <c:pt idx="0">
                <c:v>-2E-3</c:v>
              </c:pt>
              <c:pt idx="1">
                <c:v>2.5303494525489405E-2</c:v>
              </c:pt>
            </c:numLit>
          </c:yVal>
          <c:smooth val="0"/>
          <c:extLst>
            <c:ext xmlns:c16="http://schemas.microsoft.com/office/drawing/2014/chart" uri="{C3380CC4-5D6E-409C-BE32-E72D297353CC}">
              <c16:uniqueId val="{00000080-34E8-4E25-845D-BC409DED3DA3}"/>
            </c:ext>
          </c:extLst>
        </c:ser>
        <c:ser>
          <c:idx val="81"/>
          <c:order val="81"/>
          <c:tx>
            <c:v>v=0.90</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0.90</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1-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45.581784881241198</c:v>
              </c:pt>
              <c:pt idx="1">
                <c:v>29.633465439205001</c:v>
              </c:pt>
            </c:numLit>
          </c:xVal>
          <c:yVal>
            <c:numLit>
              <c:formatCode>General</c:formatCode>
              <c:ptCount val="2"/>
              <c:pt idx="0">
                <c:v>-2E-3</c:v>
              </c:pt>
              <c:pt idx="1">
                <c:v>2.8413596959233227E-2</c:v>
              </c:pt>
            </c:numLit>
          </c:yVal>
          <c:smooth val="0"/>
          <c:extLst>
            <c:ext xmlns:c16="http://schemas.microsoft.com/office/drawing/2014/chart" uri="{C3380CC4-5D6E-409C-BE32-E72D297353CC}">
              <c16:uniqueId val="{00000082-34E8-4E25-845D-BC409DED3DA3}"/>
            </c:ext>
          </c:extLst>
        </c:ser>
        <c:ser>
          <c:idx val="82"/>
          <c:order val="82"/>
          <c:tx>
            <c:v>比容積座標軸ラベル</c:v>
          </c:tx>
          <c:spPr>
            <a:ln w="3175">
              <a:solidFill>
                <a:srgbClr val="000000"/>
              </a:solidFill>
              <a:prstDash val="solid"/>
            </a:ln>
          </c:spPr>
          <c:marker>
            <c:symbol val="none"/>
          </c:marker>
          <c:dLbls>
            <c:dLbl>
              <c:idx val="0"/>
              <c:layout>
                <c:manualLayout>
                  <c:x val="-6.1712325021872266E-2"/>
                  <c:y val="-1.5669334656024605E-16"/>
                </c:manualLayout>
              </c:layout>
              <c:tx>
                <c:rich>
                  <a:bodyPr rot="4140000" vertOverflow="overflow" horzOverflow="overflow" vert="horz" wrap="none" lIns="0" tIns="0" rIns="0" bIns="0" anchor="ctr">
                    <a:spAutoFit/>
                  </a:bodyPr>
                  <a:lstStyle/>
                  <a:p>
                    <a:pPr algn="ctr">
                      <a:defRPr altLang="en-US" sz="700" b="0" i="1">
                        <a:solidFill>
                          <a:srgbClr val="000000"/>
                        </a:solidFill>
                        <a:latin typeface="ＭＳ Ｐ明朝"/>
                        <a:ea typeface="ＭＳ Ｐ明朝"/>
                        <a:cs typeface="ＭＳ Ｐ明朝"/>
                      </a:defRPr>
                    </a:pPr>
                    <a:r>
                      <a:rPr lang="ja-JP" altLang="en-US"/>
                      <a:t>比容積 </a:t>
                    </a:r>
                    <a:r>
                      <a:rPr lang="en-US"/>
                      <a:t>v [㎥/kg(DA)]
</a:t>
                    </a:r>
                  </a:p>
                </c:rich>
              </c:tx>
              <c:spPr>
                <a:solidFill>
                  <a:srgbClr val="FFFFFF">
                    <a:alpha val="0"/>
                  </a:srgbClr>
                </a:solidFill>
                <a:ln>
                  <a:noFill/>
                </a:ln>
                <a:effectLst/>
              </c:sp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3-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1"/>
              <c:pt idx="0">
                <c:v>42.563511521595515</c:v>
              </c:pt>
            </c:numLit>
          </c:xVal>
          <c:yVal>
            <c:numLit>
              <c:formatCode>General</c:formatCode>
              <c:ptCount val="1"/>
              <c:pt idx="0">
                <c:v>3.7777777777777779E-3</c:v>
              </c:pt>
            </c:numLit>
          </c:yVal>
          <c:smooth val="0"/>
          <c:extLst>
            <c:ext xmlns:c16="http://schemas.microsoft.com/office/drawing/2014/chart" uri="{C3380CC4-5D6E-409C-BE32-E72D297353CC}">
              <c16:uniqueId val="{00000084-34E8-4E25-845D-BC409DED3DA3}"/>
            </c:ext>
          </c:extLst>
        </c:ser>
        <c:ser>
          <c:idx val="83"/>
          <c:order val="83"/>
          <c:tx>
            <c:v>v=0.91</c:v>
          </c:tx>
          <c:spPr>
            <a:ln w="3175">
              <a:solidFill>
                <a:srgbClr val="008000"/>
              </a:solidFill>
              <a:prstDash val="sysDash"/>
            </a:ln>
          </c:spPr>
          <c:marker>
            <c:symbol val="none"/>
          </c:marker>
          <c:dLbls>
            <c:dLbl>
              <c:idx val="0"/>
              <c:layout>
                <c:manualLayout>
                  <c:x val="-2.0516595581802275E-2"/>
                  <c:y val="9.1397469547074284E-3"/>
                </c:manualLayout>
              </c:layout>
              <c:tx>
                <c:rich>
                  <a:bodyPr rot="0" vert="horz" wrap="square" lIns="0" tIns="0" rIns="0" bIns="0" anchor="ctr">
                    <a:spAutoFit/>
                  </a:bodyPr>
                  <a:lstStyle/>
                  <a:p>
                    <a:pPr algn="ctr">
                      <a:defRPr altLang="ja-JP" sz="700" u="none" strike="noStrike" baseline="0">
                        <a:solidFill>
                          <a:srgbClr val="000000"/>
                        </a:solidFill>
                        <a:latin typeface="ＭＳ Ｐ明朝"/>
                        <a:ea typeface="ＭＳ Ｐ明朝"/>
                        <a:cs typeface="ＭＳ Ｐ明朝"/>
                      </a:defRPr>
                    </a:pPr>
                    <a:r>
                      <a:rPr lang="en-US"/>
                      <a:t>0.91</a:t>
                    </a:r>
                    <a:endParaRPr lang="en-US" altLang="ja-JP"/>
                  </a:p>
                </c:rich>
              </c:tx>
              <c:spPr>
                <a:solidFill>
                  <a:srgbClr val="FFFFFF"/>
                </a:solidFill>
                <a:ln>
                  <a:noFill/>
                </a:ln>
                <a:effectLst/>
              </c:spPr>
              <c:dLblPos val="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85-34E8-4E25-845D-BC409DED3D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noFill/>
                      <a:prstDash val="solid"/>
                      <a:round/>
                    </a:ln>
                    <a:effectLst/>
                    <a:extLst>
                      <a:ext uri="{91240B29-F687-4F45-9708-019B960494DF}">
                        <a14:hiddenLine xmlns:a14="http://schemas.microsoft.com/office/drawing/2010/main" w="6350" cap="flat" cmpd="sng" algn="ctr">
                          <a:solidFill>
                            <a:sysClr val="windowText" lastClr="000000"/>
                          </a:solidFill>
                          <a:prstDash val="solid"/>
                          <a:round/>
                        </a14:hiddenLine>
                      </a:ext>
                    </a:extLst>
                  </c:spPr>
                </c15:leaderLines>
              </c:ext>
            </c:extLst>
          </c:dLbls>
          <c:xVal>
            <c:numLit>
              <c:formatCode>General</c:formatCode>
              <c:ptCount val="2"/>
              <c:pt idx="0">
                <c:v>49.110035958996015</c:v>
              </c:pt>
              <c:pt idx="1">
                <c:v>31.463670621458721</c:v>
              </c:pt>
            </c:numLit>
          </c:xVal>
          <c:yVal>
            <c:numLit>
              <c:formatCode>General</c:formatCode>
              <c:ptCount val="2"/>
              <c:pt idx="0">
                <c:v>-2E-3</c:v>
              </c:pt>
              <c:pt idx="1">
                <c:v>3.1701926236084019E-2</c:v>
              </c:pt>
            </c:numLit>
          </c:yVal>
          <c:smooth val="0"/>
          <c:extLst>
            <c:ext xmlns:c16="http://schemas.microsoft.com/office/drawing/2014/chart" uri="{C3380CC4-5D6E-409C-BE32-E72D297353CC}">
              <c16:uniqueId val="{00000086-34E8-4E25-845D-BC409DED3DA3}"/>
            </c:ext>
          </c:extLst>
        </c:ser>
        <c:ser>
          <c:idx val="84"/>
          <c:order val="84"/>
          <c:tx>
            <c:v>v=0.92</c:v>
          </c:tx>
          <c:spPr>
            <a:ln w="3175">
              <a:solidFill>
                <a:srgbClr val="008000"/>
              </a:solidFill>
              <a:prstDash val="sysDash"/>
            </a:ln>
          </c:spPr>
          <c:marker>
            <c:symbol val="none"/>
          </c:marker>
          <c:xVal>
            <c:numLit>
              <c:formatCode>General</c:formatCode>
              <c:ptCount val="2"/>
              <c:pt idx="0">
                <c:v>50.000000000000007</c:v>
              </c:pt>
              <c:pt idx="1">
                <c:v>33.205667827698051</c:v>
              </c:pt>
            </c:numLit>
          </c:xVal>
          <c:yVal>
            <c:numLit>
              <c:formatCode>General</c:formatCode>
              <c:ptCount val="2"/>
              <c:pt idx="0">
                <c:v>3.0653695250419488E-3</c:v>
              </c:pt>
              <c:pt idx="1">
                <c:v>3.5131294800109104E-2</c:v>
              </c:pt>
            </c:numLit>
          </c:yVal>
          <c:smooth val="0"/>
          <c:extLst>
            <c:ext xmlns:c16="http://schemas.microsoft.com/office/drawing/2014/chart" uri="{C3380CC4-5D6E-409C-BE32-E72D297353CC}">
              <c16:uniqueId val="{00000087-34E8-4E25-845D-BC409DED3DA3}"/>
            </c:ext>
          </c:extLst>
        </c:ser>
        <c:ser>
          <c:idx val="85"/>
          <c:order val="85"/>
          <c:tx>
            <c:v>v=0.93</c:v>
          </c:tx>
          <c:spPr>
            <a:ln w="3175">
              <a:solidFill>
                <a:srgbClr val="008000"/>
              </a:solidFill>
              <a:prstDash val="sysDash"/>
            </a:ln>
          </c:spPr>
          <c:marker>
            <c:symbol val="none"/>
          </c:marker>
          <c:xVal>
            <c:numLit>
              <c:formatCode>General</c:formatCode>
              <c:ptCount val="2"/>
              <c:pt idx="0">
                <c:v>50</c:v>
              </c:pt>
              <c:pt idx="1">
                <c:v>34.87984801720949</c:v>
              </c:pt>
            </c:numLit>
          </c:xVal>
          <c:yVal>
            <c:numLit>
              <c:formatCode>General</c:formatCode>
              <c:ptCount val="2"/>
              <c:pt idx="0">
                <c:v>9.8592094813579195E-3</c:v>
              </c:pt>
              <c:pt idx="1">
                <c:v>3.8720837608012822E-2</c:v>
              </c:pt>
            </c:numLit>
          </c:yVal>
          <c:smooth val="0"/>
          <c:extLst>
            <c:ext xmlns:c16="http://schemas.microsoft.com/office/drawing/2014/chart" uri="{C3380CC4-5D6E-409C-BE32-E72D297353CC}">
              <c16:uniqueId val="{00000088-34E8-4E25-845D-BC409DED3DA3}"/>
            </c:ext>
          </c:extLst>
        </c:ser>
        <c:ser>
          <c:idx val="86"/>
          <c:order val="86"/>
          <c:tx>
            <c:v>v=0.94</c:v>
          </c:tx>
          <c:spPr>
            <a:ln w="3175">
              <a:solidFill>
                <a:srgbClr val="008000"/>
              </a:solidFill>
              <a:prstDash val="sysDash"/>
            </a:ln>
          </c:spPr>
          <c:marker>
            <c:symbol val="none"/>
          </c:marker>
          <c:xVal>
            <c:numLit>
              <c:formatCode>General</c:formatCode>
              <c:ptCount val="2"/>
              <c:pt idx="0">
                <c:v>50</c:v>
              </c:pt>
              <c:pt idx="1">
                <c:v>36.476298305332442</c:v>
              </c:pt>
            </c:numLit>
          </c:xVal>
          <c:yVal>
            <c:numLit>
              <c:formatCode>General</c:formatCode>
              <c:ptCount val="2"/>
              <c:pt idx="0">
                <c:v>1.6653049437673817E-2</c:v>
              </c:pt>
              <c:pt idx="1">
                <c:v>4.24278397230183E-2</c:v>
              </c:pt>
            </c:numLit>
          </c:yVal>
          <c:smooth val="0"/>
          <c:extLst>
            <c:ext xmlns:c16="http://schemas.microsoft.com/office/drawing/2014/chart" uri="{C3380CC4-5D6E-409C-BE32-E72D297353CC}">
              <c16:uniqueId val="{00000089-34E8-4E25-845D-BC409DED3DA3}"/>
            </c:ext>
          </c:extLst>
        </c:ser>
        <c:ser>
          <c:idx val="87"/>
          <c:order val="87"/>
          <c:tx>
            <c:v>v=0.95</c:v>
          </c:tx>
          <c:spPr>
            <a:ln w="3175">
              <a:solidFill>
                <a:srgbClr val="008000"/>
              </a:solidFill>
              <a:prstDash val="sysDash"/>
            </a:ln>
          </c:spPr>
          <c:marker>
            <c:symbol val="none"/>
          </c:marker>
          <c:xVal>
            <c:numLit>
              <c:formatCode>General</c:formatCode>
              <c:ptCount val="2"/>
              <c:pt idx="0">
                <c:v>50</c:v>
              </c:pt>
              <c:pt idx="1">
                <c:v>38.015373057675212</c:v>
              </c:pt>
            </c:numLit>
          </c:xVal>
          <c:yVal>
            <c:numLit>
              <c:formatCode>General</c:formatCode>
              <c:ptCount val="2"/>
              <c:pt idx="0">
                <c:v>2.3446889393989787E-2</c:v>
              </c:pt>
              <c:pt idx="1">
                <c:v>4.6278182171319286E-2</c:v>
              </c:pt>
            </c:numLit>
          </c:yVal>
          <c:smooth val="0"/>
          <c:extLst>
            <c:ext xmlns:c16="http://schemas.microsoft.com/office/drawing/2014/chart" uri="{C3380CC4-5D6E-409C-BE32-E72D297353CC}">
              <c16:uniqueId val="{0000008A-34E8-4E25-845D-BC409DED3DA3}"/>
            </c:ext>
          </c:extLst>
        </c:ser>
        <c:ser>
          <c:idx val="88"/>
          <c:order val="88"/>
          <c:tx>
            <c:v>v=0.96</c:v>
          </c:tx>
          <c:spPr>
            <a:ln w="3175">
              <a:solidFill>
                <a:srgbClr val="008000"/>
              </a:solidFill>
              <a:prstDash val="sysDash"/>
            </a:ln>
          </c:spPr>
          <c:marker>
            <c:symbol val="none"/>
          </c:marker>
          <c:xVal>
            <c:numLit>
              <c:formatCode>General</c:formatCode>
              <c:ptCount val="2"/>
              <c:pt idx="0">
                <c:v>50.000000000000007</c:v>
              </c:pt>
              <c:pt idx="1">
                <c:v>39.486674453084802</c:v>
              </c:pt>
            </c:numLit>
          </c:xVal>
          <c:yVal>
            <c:numLit>
              <c:formatCode>General</c:formatCode>
              <c:ptCount val="2"/>
              <c:pt idx="0">
                <c:v>3.0240729350305761E-2</c:v>
              </c:pt>
              <c:pt idx="1">
                <c:v>5.022497374403067E-2</c:v>
              </c:pt>
            </c:numLit>
          </c:yVal>
          <c:smooth val="0"/>
          <c:extLst>
            <c:ext xmlns:c16="http://schemas.microsoft.com/office/drawing/2014/chart" uri="{C3380CC4-5D6E-409C-BE32-E72D297353CC}">
              <c16:uniqueId val="{0000008B-34E8-4E25-845D-BC409DED3DA3}"/>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567942910810799E-2"/>
          <c:y val="4.0336167555284561E-2"/>
          <c:w val="0.89259366873272172"/>
          <c:h val="0.92263947775758803"/>
        </c:manualLayout>
      </c:layout>
      <c:scatterChart>
        <c:scatterStyle val="lineMarker"/>
        <c:varyColors val="0"/>
        <c:ser>
          <c:idx val="0"/>
          <c:order val="0"/>
          <c:tx>
            <c:v>ｴﾝﾀﾙﾋﾟ表示文字</c:v>
          </c:tx>
          <c:spPr>
            <a:ln w="3175">
              <a:solidFill>
                <a:srgbClr val="FF0000"/>
              </a:solidFill>
              <a:prstDash val="solid"/>
            </a:ln>
          </c:spPr>
          <c:marker>
            <c:symbol val="none"/>
          </c:marker>
          <c:xVal>
            <c:numLit>
              <c:formatCode>General</c:formatCode>
              <c:ptCount val="2"/>
              <c:pt idx="0">
                <c:v>12.5</c:v>
              </c:pt>
              <c:pt idx="1">
                <c:v>12.5</c:v>
              </c:pt>
            </c:numLit>
          </c:xVal>
          <c:yVal>
            <c:numLit>
              <c:formatCode>General</c:formatCode>
              <c:ptCount val="2"/>
              <c:pt idx="0">
                <c:v>2.077E-2</c:v>
              </c:pt>
              <c:pt idx="1">
                <c:v>2.077E-2</c:v>
              </c:pt>
            </c:numLit>
          </c:yVal>
          <c:smooth val="0"/>
          <c:extLst>
            <c:ext xmlns:c16="http://schemas.microsoft.com/office/drawing/2014/chart" uri="{C3380CC4-5D6E-409C-BE32-E72D297353CC}">
              <c16:uniqueId val="{00000000-3290-444C-B79C-96D0780E4AE9}"/>
            </c:ext>
          </c:extLst>
        </c:ser>
        <c:ser>
          <c:idx val="1"/>
          <c:order val="1"/>
          <c:tx>
            <c:v>冷房SHF参照ライン</c:v>
          </c:tx>
          <c:spPr>
            <a:ln w="3175">
              <a:solidFill>
                <a:srgbClr val="008000"/>
              </a:solidFill>
              <a:prstDash val="solid"/>
            </a:ln>
          </c:spPr>
          <c:marker>
            <c:symbol val="none"/>
          </c:marker>
          <c:dPt>
            <c:idx val="0"/>
            <c:marker/>
            <c:bubble3D val="0"/>
            <c:spPr>
              <a:ln w="3175">
                <a:solidFill>
                  <a:srgbClr val="008000"/>
                </a:solidFill>
                <a:prstDash val="solid"/>
              </a:ln>
              <a:effectLst/>
            </c:spPr>
            <c:extLst>
              <c:ext xmlns:c16="http://schemas.microsoft.com/office/drawing/2014/chart" uri="{C3380CC4-5D6E-409C-BE32-E72D297353CC}">
                <c16:uniqueId val="{00000002-3290-444C-B79C-96D0780E4AE9}"/>
              </c:ext>
            </c:extLst>
          </c:dPt>
          <c:dPt>
            <c:idx val="1"/>
            <c:marker>
              <c:symbol val="circle"/>
              <c:size val="3"/>
              <c:spPr>
                <a:solidFill>
                  <a:srgbClr val="000000"/>
                </a:solidFill>
                <a:ln>
                  <a:solidFill>
                    <a:srgbClr val="000000"/>
                  </a:solidFill>
                  <a:prstDash val="solid"/>
                </a:ln>
              </c:spPr>
            </c:marker>
            <c:bubble3D val="0"/>
            <c:spPr>
              <a:ln w="3175">
                <a:solidFill>
                  <a:srgbClr val="008000"/>
                </a:solidFill>
                <a:prstDash val="solid"/>
              </a:ln>
              <a:effectLst/>
            </c:spPr>
            <c:extLst>
              <c:ext xmlns:c16="http://schemas.microsoft.com/office/drawing/2014/chart" uri="{C3380CC4-5D6E-409C-BE32-E72D297353CC}">
                <c16:uniqueId val="{00000003-3290-444C-B79C-96D0780E4AE9}"/>
              </c:ext>
            </c:extLst>
          </c:dPt>
          <c:dLbls>
            <c:dLbl>
              <c:idx val="1"/>
              <c:layout>
                <c:manualLayout>
                  <c:x val="3.4722222222222224E-2"/>
                  <c:y val="5.7692307692307696E-2"/>
                </c:manualLayout>
              </c:layout>
              <c:tx>
                <c:rich>
                  <a:bodyPr wrap="square" lIns="38100" tIns="19050" rIns="38100" bIns="19050" anchor="ctr">
                    <a:spAutoFit/>
                  </a:bodyPr>
                  <a:lstStyle/>
                  <a:p>
                    <a:pPr algn="ctr">
                      <a:defRPr altLang="en-US" sz="700" b="0" i="0" u="none" strike="noStrike" baseline="0">
                        <a:latin typeface="ＭＳ Ｐゴシック"/>
                        <a:ea typeface="ＭＳ Ｐゴシック"/>
                        <a:cs typeface="ＭＳ Ｐゴシック"/>
                      </a:defRPr>
                    </a:pPr>
                    <a:r>
                      <a:rPr lang="ja-JP" altLang="en-US"/>
                      <a:t>冷房時 </a:t>
                    </a:r>
                    <a:r>
                      <a:rPr lang="en-US"/>
                      <a:t>SHF=0.88 [-]</a:t>
                    </a:r>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7.5219999999999994</c:v>
              </c:pt>
              <c:pt idx="1">
                <c:v>-3.7276014439375182</c:v>
              </c:pt>
            </c:numLit>
          </c:xVal>
          <c:yVal>
            <c:numLit>
              <c:formatCode>General</c:formatCode>
              <c:ptCount val="2"/>
              <c:pt idx="0">
                <c:v>2.0930000000000001E-2</c:v>
              </c:pt>
              <c:pt idx="1">
                <c:v>2.0317894135552732E-2</c:v>
              </c:pt>
            </c:numLit>
          </c:yVal>
          <c:smooth val="0"/>
          <c:extLst>
            <c:ext xmlns:c16="http://schemas.microsoft.com/office/drawing/2014/chart" uri="{C3380CC4-5D6E-409C-BE32-E72D297353CC}">
              <c16:uniqueId val="{00000001-3290-444C-B79C-96D0780E4AE9}"/>
            </c:ext>
          </c:extLst>
        </c:ser>
        <c:ser>
          <c:idx val="2"/>
          <c:order val="2"/>
          <c:tx>
            <c:v>暖房SHF参照ライン</c:v>
          </c:tx>
          <c:spPr>
            <a:ln w="3175">
              <a:solidFill>
                <a:srgbClr val="FF0000"/>
              </a:solidFill>
              <a:prstDash val="solid"/>
            </a:ln>
          </c:spPr>
          <c:marker>
            <c:symbol val="none"/>
          </c:marker>
          <c:dPt>
            <c:idx val="0"/>
            <c:marker/>
            <c:bubble3D val="0"/>
            <c:spPr>
              <a:ln w="3175">
                <a:solidFill>
                  <a:srgbClr val="FF0000"/>
                </a:solidFill>
                <a:prstDash val="solid"/>
              </a:ln>
              <a:effectLst/>
            </c:spPr>
            <c:extLst>
              <c:ext xmlns:c16="http://schemas.microsoft.com/office/drawing/2014/chart" uri="{C3380CC4-5D6E-409C-BE32-E72D297353CC}">
                <c16:uniqueId val="{00000005-3290-444C-B79C-96D0780E4AE9}"/>
              </c:ext>
            </c:extLst>
          </c:dPt>
          <c:dPt>
            <c:idx val="1"/>
            <c:marker>
              <c:symbol val="circle"/>
              <c:size val="3"/>
              <c:spPr>
                <a:solidFill>
                  <a:srgbClr val="000000"/>
                </a:solidFill>
                <a:ln>
                  <a:solidFill>
                    <a:srgbClr val="000000"/>
                  </a:solidFill>
                  <a:prstDash val="solid"/>
                </a:ln>
              </c:spPr>
            </c:marker>
            <c:bubble3D val="0"/>
            <c:spPr>
              <a:ln w="3175">
                <a:solidFill>
                  <a:srgbClr val="FF0000"/>
                </a:solidFill>
                <a:prstDash val="solid"/>
              </a:ln>
              <a:effectLst/>
            </c:spPr>
            <c:extLst>
              <c:ext xmlns:c16="http://schemas.microsoft.com/office/drawing/2014/chart" uri="{C3380CC4-5D6E-409C-BE32-E72D297353CC}">
                <c16:uniqueId val="{00000006-3290-444C-B79C-96D0780E4AE9}"/>
              </c:ext>
            </c:extLst>
          </c:dPt>
          <c:dLbls>
            <c:dLbl>
              <c:idx val="1"/>
              <c:layout>
                <c:manualLayout>
                  <c:x val="3.4722222222222224E-2"/>
                  <c:y val="4.273504273504266E-2"/>
                </c:manualLayout>
              </c:layout>
              <c:tx>
                <c:rich>
                  <a:bodyPr wrap="square" lIns="38100" tIns="19050" rIns="38100" bIns="19050" anchor="ctr">
                    <a:spAutoFit/>
                  </a:bodyPr>
                  <a:lstStyle/>
                  <a:p>
                    <a:pPr algn="ctr">
                      <a:defRPr altLang="en-US" sz="700" b="0" i="0" u="none" strike="noStrike" baseline="0">
                        <a:latin typeface="ＭＳ Ｐゴシック"/>
                        <a:ea typeface="ＭＳ Ｐゴシック"/>
                        <a:cs typeface="ＭＳ Ｐゴシック"/>
                      </a:defRPr>
                    </a:pPr>
                    <a:r>
                      <a:rPr lang="ja-JP" altLang="en-US"/>
                      <a:t>暖房時 </a:t>
                    </a:r>
                    <a:r>
                      <a:rPr lang="en-US"/>
                      <a:t>SHF=1.00 [-]</a:t>
                    </a:r>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7.5219999999999994</c:v>
              </c:pt>
              <c:pt idx="1">
                <c:v>-3.758</c:v>
              </c:pt>
            </c:numLit>
          </c:xVal>
          <c:yVal>
            <c:numLit>
              <c:formatCode>General</c:formatCode>
              <c:ptCount val="2"/>
              <c:pt idx="0">
                <c:v>2.0930000000000001E-2</c:v>
              </c:pt>
              <c:pt idx="1">
                <c:v>2.0930000000000001E-2</c:v>
              </c:pt>
            </c:numLit>
          </c:yVal>
          <c:smooth val="0"/>
          <c:extLst>
            <c:ext xmlns:c16="http://schemas.microsoft.com/office/drawing/2014/chart" uri="{C3380CC4-5D6E-409C-BE32-E72D297353CC}">
              <c16:uniqueId val="{00000004-3290-444C-B79C-96D0780E4AE9}"/>
            </c:ext>
          </c:extLst>
        </c:ser>
        <c:ser>
          <c:idx val="3"/>
          <c:order val="3"/>
          <c:tx>
            <c:v>熱水分比参照ライン</c:v>
          </c:tx>
          <c:spPr>
            <a:ln w="3175">
              <a:solidFill>
                <a:srgbClr val="FF6600"/>
              </a:solidFill>
              <a:prstDash val="solid"/>
            </a:ln>
          </c:spPr>
          <c:marker>
            <c:symbol val="none"/>
          </c:marker>
          <c:dPt>
            <c:idx val="0"/>
            <c:marker/>
            <c:bubble3D val="0"/>
            <c:spPr>
              <a:ln w="3175">
                <a:solidFill>
                  <a:srgbClr val="FF6600"/>
                </a:solidFill>
                <a:prstDash val="solid"/>
              </a:ln>
              <a:effectLst/>
            </c:spPr>
            <c:extLst>
              <c:ext xmlns:c16="http://schemas.microsoft.com/office/drawing/2014/chart" uri="{C3380CC4-5D6E-409C-BE32-E72D297353CC}">
                <c16:uniqueId val="{00000008-3290-444C-B79C-96D0780E4AE9}"/>
              </c:ext>
            </c:extLst>
          </c:dPt>
          <c:dPt>
            <c:idx val="1"/>
            <c:marker>
              <c:symbol val="circle"/>
              <c:size val="3"/>
              <c:spPr>
                <a:solidFill>
                  <a:srgbClr val="000000"/>
                </a:solidFill>
                <a:ln>
                  <a:solidFill>
                    <a:srgbClr val="000000"/>
                  </a:solidFill>
                  <a:prstDash val="solid"/>
                </a:ln>
              </c:spPr>
            </c:marker>
            <c:bubble3D val="0"/>
            <c:spPr>
              <a:ln w="3175">
                <a:solidFill>
                  <a:srgbClr val="FF6600"/>
                </a:solidFill>
                <a:prstDash val="solid"/>
              </a:ln>
              <a:effectLst/>
            </c:spPr>
            <c:extLst>
              <c:ext xmlns:c16="http://schemas.microsoft.com/office/drawing/2014/chart" uri="{C3380CC4-5D6E-409C-BE32-E72D297353CC}">
                <c16:uniqueId val="{00000009-3290-444C-B79C-96D0780E4AE9}"/>
              </c:ext>
            </c:extLst>
          </c:dPt>
          <c:dLbls>
            <c:dLbl>
              <c:idx val="1"/>
              <c:layout>
                <c:manualLayout>
                  <c:x val="3.4722222222222224E-2"/>
                  <c:y val="7.4786324786324784E-2"/>
                </c:manualLayout>
              </c:layout>
              <c:tx>
                <c:rich>
                  <a:bodyPr wrap="square" lIns="38100" tIns="19050" rIns="38100" bIns="19050" anchor="ctr">
                    <a:spAutoFit/>
                  </a:bodyPr>
                  <a:lstStyle/>
                  <a:p>
                    <a:pPr algn="ctr">
                      <a:defRPr altLang="en-US" sz="700" b="0" i="0" u="none" strike="noStrike" baseline="0">
                        <a:latin typeface="ＭＳ Ｐゴシック"/>
                        <a:ea typeface="ＭＳ Ｐゴシック"/>
                        <a:cs typeface="ＭＳ Ｐゴシック"/>
                      </a:defRPr>
                    </a:pPr>
                    <a:r>
                      <a:rPr lang="ja-JP" altLang="en-US"/>
                      <a:t>加湿用水熱水分比</a:t>
                    </a:r>
                    <a:r>
                      <a:rPr lang="en-US" altLang="ja-JP"/>
                      <a:t>=56 [</a:t>
                    </a:r>
                    <a:r>
                      <a:rPr lang="en-US"/>
                      <a:t>kJ/kg]</a:t>
                    </a:r>
                  </a:p>
                </c:rich>
              </c:tx>
              <c:spPr>
                <a:noFill/>
                <a:ln>
                  <a:noFill/>
                </a:ln>
                <a:effectLst/>
              </c:sp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7.5219999999999994</c:v>
              </c:pt>
              <c:pt idx="1">
                <c:v>-4.8180953763856813</c:v>
              </c:pt>
            </c:numLit>
          </c:xVal>
          <c:yVal>
            <c:numLit>
              <c:formatCode>General</c:formatCode>
              <c:ptCount val="2"/>
              <c:pt idx="0">
                <c:v>2.0930000000000001E-2</c:v>
              </c:pt>
              <c:pt idx="1">
                <c:v>2.5820728420062247E-2</c:v>
              </c:pt>
            </c:numLit>
          </c:yVal>
          <c:smooth val="0"/>
          <c:extLst>
            <c:ext xmlns:c16="http://schemas.microsoft.com/office/drawing/2014/chart" uri="{C3380CC4-5D6E-409C-BE32-E72D297353CC}">
              <c16:uniqueId val="{00000007-3290-444C-B79C-96D0780E4AE9}"/>
            </c:ext>
          </c:extLst>
        </c:ser>
        <c:ser>
          <c:idx val="4"/>
          <c:order val="4"/>
          <c:tx>
            <c:v>外気-冷却コイル入口</c:v>
          </c:tx>
          <c:spPr>
            <a:ln w="12700">
              <a:solidFill>
                <a:srgbClr val="00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53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①</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90-444C-B79C-96D0780E4AE9}"/>
                </c:ext>
              </c:extLst>
            </c:dLbl>
            <c:dLbl>
              <c:idx val="2"/>
              <c:layout>
                <c:manualLayout>
                  <c:x val="-8.6805555555556826E-3"/>
                  <c:y val="0"/>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②</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33.13944850894633</c:v>
              </c:pt>
              <c:pt idx="1">
                <c:v>33.13944850894633</c:v>
              </c:pt>
              <c:pt idx="2">
                <c:v>28.94170525248509</c:v>
              </c:pt>
            </c:numLit>
          </c:xVal>
          <c:yVal>
            <c:numLit>
              <c:formatCode>General</c:formatCode>
              <c:ptCount val="3"/>
              <c:pt idx="0">
                <c:v>1.8600000000000002E-2</c:v>
              </c:pt>
              <c:pt idx="1">
                <c:v>1.8600000000000002E-2</c:v>
              </c:pt>
              <c:pt idx="2">
                <c:v>1.257E-2</c:v>
              </c:pt>
            </c:numLit>
          </c:yVal>
          <c:smooth val="0"/>
          <c:extLst>
            <c:ext xmlns:c16="http://schemas.microsoft.com/office/drawing/2014/chart" uri="{C3380CC4-5D6E-409C-BE32-E72D297353CC}">
              <c16:uniqueId val="{0000000A-3290-444C-B79C-96D0780E4AE9}"/>
            </c:ext>
          </c:extLst>
        </c:ser>
        <c:ser>
          <c:idx val="5"/>
          <c:order val="5"/>
          <c:tx>
            <c:v>冷却プロセス</c:v>
          </c:tx>
          <c:spPr>
            <a:ln w="25400">
              <a:solidFill>
                <a:srgbClr val="008000"/>
              </a:solidFill>
              <a:prstDash val="solid"/>
            </a:ln>
          </c:spPr>
          <c:marker>
            <c:symbol val="circle"/>
            <c:size val="6"/>
            <c:spPr>
              <a:solidFill>
                <a:srgbClr val="FFFFFF"/>
              </a:solidFill>
              <a:ln>
                <a:solidFill>
                  <a:srgbClr val="000000"/>
                </a:solidFill>
                <a:prstDash val="solid"/>
              </a:ln>
            </c:spPr>
          </c:marker>
          <c:dLbls>
            <c:dLbl>
              <c:idx val="1"/>
              <c:layout>
                <c:manualLayout>
                  <c:x val="-3.6458333333333398E-2"/>
                  <c:y val="-7.8346673280123027E-17"/>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③</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28.94170525248509</c:v>
              </c:pt>
              <c:pt idx="1">
                <c:v>15.003445137176939</c:v>
              </c:pt>
            </c:numLit>
          </c:xVal>
          <c:yVal>
            <c:numLit>
              <c:formatCode>General</c:formatCode>
              <c:ptCount val="2"/>
              <c:pt idx="0">
                <c:v>1.257E-2</c:v>
              </c:pt>
              <c:pt idx="1">
                <c:v>1.0019999999999999E-2</c:v>
              </c:pt>
            </c:numLit>
          </c:yVal>
          <c:smooth val="0"/>
          <c:extLst>
            <c:ext xmlns:c16="http://schemas.microsoft.com/office/drawing/2014/chart" uri="{C3380CC4-5D6E-409C-BE32-E72D297353CC}">
              <c16:uniqueId val="{0000000D-3290-444C-B79C-96D0780E4AE9}"/>
            </c:ext>
          </c:extLst>
        </c:ser>
        <c:ser>
          <c:idx val="6"/>
          <c:order val="6"/>
          <c:tx>
            <c:v>冷房時室内変化プロセス</c:v>
          </c:tx>
          <c:spPr>
            <a:ln w="12700">
              <a:solidFill>
                <a:srgbClr val="000000"/>
              </a:solidFill>
              <a:prstDash val="sysDash"/>
            </a:ln>
          </c:spPr>
          <c:marker>
            <c:symbol val="circle"/>
            <c:size val="6"/>
            <c:spPr>
              <a:solidFill>
                <a:srgbClr val="FFFFFF"/>
              </a:solidFill>
              <a:ln>
                <a:solidFill>
                  <a:srgbClr val="000000"/>
                </a:solidFill>
                <a:prstDash val="solid"/>
              </a:ln>
            </c:spPr>
          </c:marker>
          <c:dLbls>
            <c:dLbl>
              <c:idx val="1"/>
              <c:layout>
                <c:manualLayout>
                  <c:x val="-8.6805555555556826E-3"/>
                  <c:y val="-7.8346673280123027E-17"/>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④</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15.003445137176939</c:v>
              </c:pt>
              <c:pt idx="1">
                <c:v>27.570462027833003</c:v>
              </c:pt>
            </c:numLit>
          </c:xVal>
          <c:yVal>
            <c:numLit>
              <c:formatCode>General</c:formatCode>
              <c:ptCount val="2"/>
              <c:pt idx="0">
                <c:v>1.0019999999999999E-2</c:v>
              </c:pt>
              <c:pt idx="1">
                <c:v>1.056E-2</c:v>
              </c:pt>
            </c:numLit>
          </c:yVal>
          <c:smooth val="0"/>
          <c:extLst>
            <c:ext xmlns:c16="http://schemas.microsoft.com/office/drawing/2014/chart" uri="{C3380CC4-5D6E-409C-BE32-E72D297353CC}">
              <c16:uniqueId val="{0000000F-3290-444C-B79C-96D0780E4AE9}"/>
            </c:ext>
          </c:extLst>
        </c:ser>
        <c:ser>
          <c:idx val="7"/>
          <c:order val="7"/>
          <c:tx>
            <c:v>室内-ミキシングポイント</c:v>
          </c:tx>
          <c:spPr>
            <a:ln w="12700">
              <a:solidFill>
                <a:srgbClr val="000000"/>
              </a:solidFill>
              <a:prstDash val="solid"/>
            </a:ln>
          </c:spPr>
          <c:marker>
            <c:symbol val="circle"/>
            <c:size val="6"/>
            <c:spPr>
              <a:solidFill>
                <a:srgbClr val="FFFFFF"/>
              </a:solidFill>
              <a:ln>
                <a:solidFill>
                  <a:srgbClr val="000000"/>
                </a:solidFill>
                <a:prstDash val="solid"/>
              </a:ln>
            </c:spPr>
          </c:marker>
          <c:xVal>
            <c:numLit>
              <c:formatCode>General</c:formatCode>
              <c:ptCount val="2"/>
              <c:pt idx="0">
                <c:v>27.570462027833003</c:v>
              </c:pt>
              <c:pt idx="1">
                <c:v>28.94170525248509</c:v>
              </c:pt>
            </c:numLit>
          </c:xVal>
          <c:yVal>
            <c:numLit>
              <c:formatCode>General</c:formatCode>
              <c:ptCount val="2"/>
              <c:pt idx="0">
                <c:v>1.056E-2</c:v>
              </c:pt>
              <c:pt idx="1">
                <c:v>1.257E-2</c:v>
              </c:pt>
            </c:numLit>
          </c:yVal>
          <c:smooth val="0"/>
          <c:extLst>
            <c:ext xmlns:c16="http://schemas.microsoft.com/office/drawing/2014/chart" uri="{C3380CC4-5D6E-409C-BE32-E72D297353CC}">
              <c16:uniqueId val="{00000011-3290-444C-B79C-96D0780E4AE9}"/>
            </c:ext>
          </c:extLst>
        </c:ser>
        <c:ser>
          <c:idx val="8"/>
          <c:order val="8"/>
          <c:tx>
            <c:v>暖房時外気ポイント-ミキシングポイントプロセス</c:v>
          </c:tx>
          <c:spPr>
            <a:ln w="12700">
              <a:solidFill>
                <a:srgbClr val="00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⑤</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90-444C-B79C-96D0780E4AE9}"/>
                </c:ext>
              </c:extLst>
            </c:dLbl>
            <c:dLbl>
              <c:idx val="2"/>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⑥</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1.8757534791252486</c:v>
              </c:pt>
              <c:pt idx="1">
                <c:v>1.8757534791252486</c:v>
              </c:pt>
              <c:pt idx="2">
                <c:v>14.459975894632207</c:v>
              </c:pt>
            </c:numLit>
          </c:xVal>
          <c:yVal>
            <c:numLit>
              <c:formatCode>General</c:formatCode>
              <c:ptCount val="3"/>
              <c:pt idx="0">
                <c:v>1.4E-3</c:v>
              </c:pt>
              <c:pt idx="1">
                <c:v>1.4E-3</c:v>
              </c:pt>
              <c:pt idx="2">
                <c:v>4.45E-3</c:v>
              </c:pt>
            </c:numLit>
          </c:yVal>
          <c:smooth val="0"/>
          <c:extLst>
            <c:ext xmlns:c16="http://schemas.microsoft.com/office/drawing/2014/chart" uri="{C3380CC4-5D6E-409C-BE32-E72D297353CC}">
              <c16:uniqueId val="{00000012-3290-444C-B79C-96D0780E4AE9}"/>
            </c:ext>
          </c:extLst>
        </c:ser>
        <c:ser>
          <c:idx val="9"/>
          <c:order val="9"/>
          <c:tx>
            <c:v>暖房加熱プロセス</c:v>
          </c:tx>
          <c:spPr>
            <a:ln w="25400">
              <a:solidFill>
                <a:srgbClr val="FF0000"/>
              </a:solidFill>
              <a:prstDash val="solid"/>
            </a:ln>
          </c:spPr>
          <c:marker>
            <c:symbol val="circle"/>
            <c:size val="6"/>
            <c:spPr>
              <a:solidFill>
                <a:srgbClr val="FFFFFF"/>
              </a:solidFill>
              <a:ln>
                <a:solidFill>
                  <a:srgbClr val="000000"/>
                </a:solidFill>
                <a:prstDash val="solid"/>
              </a:ln>
            </c:spPr>
          </c:marker>
          <c:dLbls>
            <c:dLbl>
              <c:idx val="1"/>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⑦</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290-444C-B79C-96D0780E4AE9}"/>
                </c:ext>
              </c:extLst>
            </c:dLbl>
            <c:dLbl>
              <c:idx val="2"/>
              <c:layout>
                <c:manualLayout>
                  <c:x val="-2.2569444444444507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⑧</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3"/>
              <c:pt idx="0">
                <c:v>14.459975894632207</c:v>
              </c:pt>
              <c:pt idx="1">
                <c:v>25.510150765407555</c:v>
              </c:pt>
              <c:pt idx="2">
                <c:v>22.939058829025843</c:v>
              </c:pt>
            </c:numLit>
          </c:xVal>
          <c:yVal>
            <c:numLit>
              <c:formatCode>General</c:formatCode>
              <c:ptCount val="3"/>
              <c:pt idx="0">
                <c:v>4.45E-3</c:v>
              </c:pt>
              <c:pt idx="1">
                <c:v>4.45E-3</c:v>
              </c:pt>
              <c:pt idx="2">
                <c:v>5.47E-3</c:v>
              </c:pt>
            </c:numLit>
          </c:yVal>
          <c:smooth val="0"/>
          <c:extLst>
            <c:ext xmlns:c16="http://schemas.microsoft.com/office/drawing/2014/chart" uri="{C3380CC4-5D6E-409C-BE32-E72D297353CC}">
              <c16:uniqueId val="{00000015-3290-444C-B79C-96D0780E4AE9}"/>
            </c:ext>
          </c:extLst>
        </c:ser>
        <c:ser>
          <c:idx val="10"/>
          <c:order val="10"/>
          <c:tx>
            <c:v>暖房時室内変化プロセス</c:v>
          </c:tx>
          <c:spPr>
            <a:ln w="12700">
              <a:solidFill>
                <a:srgbClr val="000000"/>
              </a:solidFill>
              <a:prstDash val="sysDash"/>
            </a:ln>
          </c:spPr>
          <c:marker>
            <c:symbol val="circle"/>
            <c:size val="6"/>
            <c:spPr>
              <a:solidFill>
                <a:srgbClr val="FFFFFF"/>
              </a:solidFill>
              <a:ln>
                <a:solidFill>
                  <a:srgbClr val="000000"/>
                </a:solidFill>
                <a:prstDash val="solid"/>
              </a:ln>
            </c:spPr>
          </c:marker>
          <c:dLbls>
            <c:dLbl>
              <c:idx val="1"/>
              <c:layout>
                <c:manualLayout>
                  <c:x val="-2.2569444444444444E-2"/>
                  <c:y val="1.6452991452991454E-2"/>
                </c:manualLayout>
              </c:layout>
              <c:tx>
                <c:rich>
                  <a:bodyPr wrap="square" lIns="38100" tIns="19050" rIns="38100" bIns="19050" anchor="ctr">
                    <a:spAutoFit/>
                  </a:bodyPr>
                  <a:lstStyle/>
                  <a:p>
                    <a:pPr algn="ctr">
                      <a:defRPr altLang="ja-JP" sz="1000" b="1" i="0">
                        <a:solidFill>
                          <a:srgbClr val="000000"/>
                        </a:solidFill>
                        <a:latin typeface="ＭＳ Ｐゴシック"/>
                        <a:ea typeface="ＭＳ Ｐゴシック"/>
                        <a:cs typeface="ＭＳ Ｐゴシック"/>
                      </a:defRPr>
                    </a:pPr>
                    <a:r>
                      <a:rPr lang="en-US"/>
                      <a:t>⑨</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290-444C-B79C-96D0780E4A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2"/>
              <c:pt idx="0">
                <c:v>22.939058829025843</c:v>
              </c:pt>
              <c:pt idx="1">
                <c:v>18.68648091451292</c:v>
              </c:pt>
            </c:numLit>
          </c:xVal>
          <c:yVal>
            <c:numLit>
              <c:formatCode>General</c:formatCode>
              <c:ptCount val="2"/>
              <c:pt idx="0">
                <c:v>5.47E-3</c:v>
              </c:pt>
              <c:pt idx="1">
                <c:v>5.47E-3</c:v>
              </c:pt>
            </c:numLit>
          </c:yVal>
          <c:smooth val="0"/>
          <c:extLst>
            <c:ext xmlns:c16="http://schemas.microsoft.com/office/drawing/2014/chart" uri="{C3380CC4-5D6E-409C-BE32-E72D297353CC}">
              <c16:uniqueId val="{00000018-3290-444C-B79C-96D0780E4AE9}"/>
            </c:ext>
          </c:extLst>
        </c:ser>
        <c:ser>
          <c:idx val="11"/>
          <c:order val="11"/>
          <c:tx>
            <c:v>暖房時室内ポイント-ミキシングポイントプロセス</c:v>
          </c:tx>
          <c:spPr>
            <a:ln w="12700">
              <a:solidFill>
                <a:srgbClr val="000000"/>
              </a:solidFill>
              <a:prstDash val="solid"/>
            </a:ln>
          </c:spPr>
          <c:marker>
            <c:symbol val="circle"/>
            <c:size val="6"/>
            <c:spPr>
              <a:solidFill>
                <a:srgbClr val="FFFFFF"/>
              </a:solidFill>
              <a:ln>
                <a:solidFill>
                  <a:srgbClr val="000000"/>
                </a:solidFill>
                <a:prstDash val="solid"/>
              </a:ln>
            </c:spPr>
          </c:marker>
          <c:xVal>
            <c:numLit>
              <c:formatCode>General</c:formatCode>
              <c:ptCount val="2"/>
              <c:pt idx="0">
                <c:v>18.68648091451292</c:v>
              </c:pt>
              <c:pt idx="1">
                <c:v>14.459975894632207</c:v>
              </c:pt>
            </c:numLit>
          </c:xVal>
          <c:yVal>
            <c:numLit>
              <c:formatCode>General</c:formatCode>
              <c:ptCount val="2"/>
              <c:pt idx="0">
                <c:v>5.47E-3</c:v>
              </c:pt>
              <c:pt idx="1">
                <c:v>4.45E-3</c:v>
              </c:pt>
            </c:numLit>
          </c:yVal>
          <c:smooth val="0"/>
          <c:extLst>
            <c:ext xmlns:c16="http://schemas.microsoft.com/office/drawing/2014/chart" uri="{C3380CC4-5D6E-409C-BE32-E72D297353CC}">
              <c16:uniqueId val="{0000001A-3290-444C-B79C-96D0780E4AE9}"/>
            </c:ext>
          </c:extLst>
        </c:ser>
        <c:dLbls>
          <c:showLegendKey val="0"/>
          <c:showVal val="0"/>
          <c:showCatName val="0"/>
          <c:showSerName val="0"/>
          <c:showPercent val="0"/>
          <c:showBubbleSize val="0"/>
        </c:dLbls>
        <c:axId val="358253584"/>
        <c:axId val="358251624"/>
      </c:scatterChart>
      <c:valAx>
        <c:axId val="358253584"/>
        <c:scaling>
          <c:orientation val="minMax"/>
          <c:max val="50.8"/>
          <c:min val="-10.178000000000001"/>
        </c:scaling>
        <c:delete val="0"/>
        <c:axPos val="b"/>
        <c:numFmt formatCode="#,##0_ "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1624"/>
        <c:crossesAt val="0"/>
        <c:crossBetween val="midCat"/>
        <c:majorUnit val="2"/>
        <c:minorUnit val="2"/>
      </c:valAx>
      <c:valAx>
        <c:axId val="358251624"/>
        <c:scaling>
          <c:orientation val="minMax"/>
          <c:max val="3.4000000000000002E-2"/>
          <c:min val="-2E-3"/>
        </c:scaling>
        <c:delete val="0"/>
        <c:axPos val="l"/>
        <c:numFmt formatCode="0.000" sourceLinked="0"/>
        <c:majorTickMark val="none"/>
        <c:minorTickMark val="none"/>
        <c:tickLblPos val="none"/>
        <c:spPr>
          <a:noFill/>
          <a:ln w="12700" cap="flat" cmpd="sng" algn="ctr">
            <a:noFill/>
            <a:prstDash val="solid"/>
            <a:round/>
          </a:ln>
          <a:effectLst/>
          <a:extLst>
            <a:ext uri="{91240B29-F687-4F45-9708-019B960494DF}">
              <a14:hiddenLine xmlns:a14="http://schemas.microsoft.com/office/drawing/2010/main" w="12700" cap="flat" cmpd="sng" algn="ctr">
                <a:solidFill>
                  <a:srgbClr val="000000"/>
                </a:solidFill>
                <a:prstDash val="solid"/>
                <a:round/>
              </a14:hiddenLine>
            </a:ext>
          </a:extLst>
        </c:spPr>
        <c:txPr>
          <a:bodyPr rot="0" vert="horz"/>
          <a:lstStyle/>
          <a:p>
            <a:pPr>
              <a:defRPr/>
            </a:pPr>
            <a:endParaRPr lang="ja-JP"/>
          </a:p>
        </c:txPr>
        <c:crossAx val="358253584"/>
        <c:crossesAt val="-10.178000000000001"/>
        <c:crossBetween val="midCat"/>
        <c:majorUnit val="1E-3"/>
        <c:minorUnit val="5.0000000000000001E-4"/>
      </c:valAx>
      <c:spPr>
        <a:noFill/>
        <a:ln w="25400">
          <a:noFill/>
        </a:ln>
      </c:spPr>
    </c:plotArea>
    <c:plotVisOnly val="0"/>
    <c:dispBlanksAs val="gap"/>
    <c:showDLblsOverMax val="0"/>
  </c:chart>
  <c:spPr>
    <a:noFill/>
    <a:ln w="12700">
      <a:gradFill>
        <a:gsLst>
          <a:gs pos="0">
            <a:srgbClr val="DDDDDD"/>
          </a:gs>
          <a:gs pos="74000">
            <a:srgbClr val="C0C0C0"/>
          </a:gs>
          <a:gs pos="100000">
            <a:srgbClr val="808080"/>
          </a:gs>
          <a:gs pos="100000">
            <a:schemeClr val="accent1">
              <a:lumMod val="30000"/>
              <a:lumOff val="70000"/>
            </a:schemeClr>
          </a:gs>
        </a:gsLst>
        <a:lin ang="5400000" scaled="1"/>
      </a:gradFill>
      <a:prstDash val="solid"/>
    </a:ln>
  </c:spPr>
  <c:txPr>
    <a:bodyPr/>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printSettings>
    <c:headerFooter alignWithMargins="0"/>
    <c:pageMargins b="1" l="0.75" r="0.75" t="1" header="0.51200000000000001" footer="0.51200000000000001"/>
    <c:pageSetup paperSize="9" orientation="landscape" horizontalDpi="360" verticalDpi="360"/>
  </c:printSettings>
</c:chartSpace>
</file>

<file path=xl/drawings/_rels/drawing1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1314450</xdr:colOff>
      <xdr:row>4</xdr:row>
      <xdr:rowOff>228600</xdr:rowOff>
    </xdr:from>
    <xdr:ext cx="4090626" cy="868956"/>
    <xdr:sp macro="" textlink="">
      <xdr:nvSpPr>
        <xdr:cNvPr id="2" name="Text Box 1">
          <a:extLst>
            <a:ext uri="{FF2B5EF4-FFF2-40B4-BE49-F238E27FC236}">
              <a16:creationId xmlns:a16="http://schemas.microsoft.com/office/drawing/2014/main" id="{00000000-0008-0000-0000-000001040000}"/>
            </a:ext>
          </a:extLst>
        </xdr:cNvPr>
        <xdr:cNvSpPr txBox="1">
          <a:spLocks noChangeArrowheads="1"/>
        </xdr:cNvSpPr>
      </xdr:nvSpPr>
      <xdr:spPr bwMode="auto">
        <a:xfrm>
          <a:off x="533400" y="857250"/>
          <a:ext cx="4090626" cy="868956"/>
        </a:xfrm>
        <a:prstGeom prst="rect">
          <a:avLst/>
        </a:prstGeom>
        <a:pattFill prst="ltHorz">
          <a:fgClr>
            <a:srgbClr val="DDDDDD"/>
          </a:fgClr>
          <a:bgClr>
            <a:schemeClr val="bg1"/>
          </a:bgClr>
        </a:pattFill>
        <a:ln w="9525">
          <a:solidFill>
            <a:srgbClr xmlns:mc="http://schemas.openxmlformats.org/markup-compatibility/2006" xmlns:a14="http://schemas.microsoft.com/office/drawing/2010/main" val="000000" mc:Ignorable="a14" a14:legacySpreadsheetColorIndex="64"/>
          </a:solidFill>
          <a:miter lim="800000"/>
          <a:headEnd/>
          <a:tailEnd/>
        </a:ln>
        <a:effectLst>
          <a:outerShdw blurRad="50800" dist="38100" dir="2700000" algn="tl" rotWithShape="0">
            <a:prstClr val="black">
              <a:alpha val="40000"/>
            </a:prstClr>
          </a:outerShdw>
        </a:effectLst>
      </xdr:spPr>
      <xdr:txBody>
        <a:bodyPr wrap="none" lIns="180000" tIns="18288" rIns="180000" bIns="0" anchor="ctr" anchorCtr="0" upright="1">
          <a:spAutoFit/>
        </a:bodyPr>
        <a:lstStyle/>
        <a:p>
          <a:pPr algn="l" rtl="0">
            <a:lnSpc>
              <a:spcPts val="1500"/>
            </a:lnSpc>
            <a:defRPr sz="1000"/>
          </a:pPr>
          <a:r>
            <a:rPr lang="ja-JP" altLang="en-US" sz="1100" b="0" i="0" u="none" strike="noStrike" baseline="0">
              <a:solidFill>
                <a:srgbClr val="1C1C1C"/>
              </a:solidFill>
              <a:latin typeface="Meiryo UI" panose="020B0604030504040204" pitchFamily="50" charset="-128"/>
              <a:ea typeface="Meiryo UI" panose="020B0604030504040204" pitchFamily="50" charset="-128"/>
            </a:rPr>
            <a:t>印刷するときはまず最初に表紙だけを選択して印刷し、</a:t>
          </a:r>
        </a:p>
        <a:p>
          <a:pPr algn="l" rtl="0">
            <a:lnSpc>
              <a:spcPts val="1500"/>
            </a:lnSpc>
            <a:defRPr sz="1000"/>
          </a:pPr>
          <a:r>
            <a:rPr lang="ja-JP" altLang="en-US" sz="1100" b="0" i="0" u="none" strike="noStrike" baseline="0">
              <a:solidFill>
                <a:srgbClr val="1C1C1C"/>
              </a:solidFill>
              <a:latin typeface="Meiryo UI" panose="020B0604030504040204" pitchFamily="50" charset="-128"/>
              <a:ea typeface="Meiryo UI" panose="020B0604030504040204" pitchFamily="50" charset="-128"/>
            </a:rPr>
            <a:t>次に表紙以外のすべてのシートをまとめて選択して印刷してください。</a:t>
          </a:r>
        </a:p>
        <a:p>
          <a:pPr algn="l" rtl="0">
            <a:defRPr sz="1000"/>
          </a:pPr>
          <a:r>
            <a:rPr lang="ja-JP" altLang="en-US" sz="1100" b="0" i="0" u="none" strike="noStrike" baseline="0">
              <a:solidFill>
                <a:srgbClr val="1C1C1C"/>
              </a:solidFill>
              <a:latin typeface="Meiryo UI" panose="020B0604030504040204" pitchFamily="50" charset="-128"/>
              <a:ea typeface="Meiryo UI" panose="020B0604030504040204" pitchFamily="50" charset="-128"/>
            </a:rPr>
            <a:t>この様にすると、表紙はﾍﾟｰｼﾞ数から除外できます。</a:t>
          </a:r>
        </a:p>
        <a:p>
          <a:pPr algn="l" rtl="0">
            <a:defRPr sz="1000"/>
          </a:pPr>
          <a:r>
            <a:rPr lang="ja-JP" altLang="en-US" sz="1100" b="0" i="0" u="none" strike="noStrike" baseline="0">
              <a:solidFill>
                <a:srgbClr val="1C1C1C"/>
              </a:solidFill>
              <a:latin typeface="Meiryo UI" panose="020B0604030504040204" pitchFamily="50" charset="-128"/>
              <a:ea typeface="Meiryo UI" panose="020B0604030504040204" pitchFamily="50" charset="-128"/>
            </a:rPr>
            <a:t>また、この注釈は印刷されません。</a:t>
          </a:r>
        </a:p>
      </xdr:txBody>
    </xdr:sp>
    <xdr:clientData fPrintsWithSheet="0"/>
  </xdr:oneCellAnchor>
</xdr:wsDr>
</file>

<file path=xl/drawings/drawing10.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79A93549-D852-4529-B72D-94D803BB2B6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3A5B26E9-0C99-4F1B-B08D-9BDFEE3044C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38796C5E-FAD3-4176-9130-0E158968FCC3}"/>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B85EB5A7-C261-4DF5-B7F4-6B5D9244974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732C664F-0310-4F00-B02C-E411B5A65FF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04B9B364-6D66-4E59-A51C-928D6F3E787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1086617C-BE36-46F6-A562-7B53F1EFC47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162E5967-1D70-4C02-8DDE-25D93AE52D3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933188BE-0BF5-4276-B35A-BBA4AE9A82A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44EE2ED9-3D97-4F3B-84A5-FE13000B046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155656AF-8633-468C-9B0F-06DE9B3D95F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55191C9C-A576-450F-BB62-ED61A9BCCC4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E5509797-40EF-4F14-AB72-9053F7F4461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E351700D-72BB-46C4-A43B-ABF0CAF342F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1F1EC887-2A7D-4D35-8510-ED392F845C9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B27A68CC-0471-45E9-9357-A6BA8B6E276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B6632084-AF87-4DB8-93BE-CA687813C28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A6D13980-B8D2-460F-BE33-CA72C5A34B0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9CB8B529-C1FC-42E6-B82C-4DCD2046797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AF9E8AC0-689A-490A-9080-A131D1895F0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443F1835-BE9D-4206-A943-53FE43ED2C3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07AB138D-CF35-41E1-8AE0-6A8E884669B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21DE2F5B-55BB-4691-8DDA-8C337D90309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207FCACC-26E4-439B-8824-E97C3D2C5D2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97268B4A-4C7D-494C-B147-C09C2E131DD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37EA4D88-8119-4646-B5E4-D18A3FC4C73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6F499C93-D210-430F-8737-4C155AF6A6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1660C7ED-EE4D-401C-A7C7-8B4E015FCF8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F08056CB-8099-45A9-8C89-99FFDBBA279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69C774C8-5419-4470-97B7-F1FB38A9714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6467C1CC-2743-4E24-9B5F-CE9B566A8BC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38703193-7706-42DF-BB2A-9DF00527479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95C4E68C-7A82-40EA-9001-5CBDC9B6750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32FB7753-6AFE-4F45-987E-F580238FA7B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B0637095-1D11-464A-9676-39B6C7D1A3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02ED94C6-57B6-4C97-AAC3-A49E7F781A5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31EAB935-7753-4AB8-8031-73468A0871E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6FA1B172-5D50-4846-83FE-B08778992B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FB0B2344-B6B6-47A7-957E-CB1BF33E55D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1043787D-1C20-4F25-8CA6-4826A0773BA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C5C2E450-5DE4-445F-8772-B7673B86546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AB4C60E9-9185-439A-8706-0B19C15361C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764A64BD-042B-4535-866A-3FB4A19BF99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136646A1-AF0E-48A5-9C37-FE187577475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5FA545DE-7980-47C1-81FF-5BCAFCB7832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050373D7-3394-42E6-91F7-2E583B45683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DAFD404E-FA4C-4E33-8FE6-F8E2AB891F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D90B7CA1-CCBE-4448-9EA5-3752B9E5DD1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392047F8-D32B-407E-B7F2-CAE3BDF432A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CF696A1B-A4D2-4270-9DDB-5B568EAB7CA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D9A4C030-C314-46BE-B6D4-DE55A9FF70A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F9AC97AB-D095-4CFE-B146-D59DFCA68E7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288E20E9-64C8-4FCD-9B00-711153B136B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BF2516AD-5074-4917-9DBB-8F950937B41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B90AD27D-8546-4799-B5B0-E796501A76F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7365C8E2-612A-4061-823A-71FFBDD4F95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527E3314-2733-497C-A50D-CBEC4838BF9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5DE14E27-245C-4AF0-A142-480DBFA7856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C9D26DBF-FBFA-44B5-9519-C99CFF07848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CC482952-13C9-4FEB-9837-65555D4195B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1E3E25E7-A9F0-48C8-B99D-28F25EC2826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15D1E0C1-8E68-401F-A5C5-8A700D6DED7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4EB9FB9A-28DC-45E0-8901-16A4590C63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9B0DB040-A96E-4648-80A8-993770BC4E0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BCB431FD-730F-44ED-A9F5-458D0D371BE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1ED1F0E3-503E-4B89-B5E6-7D018F86DDC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472DD9C2-ADE6-4D9F-98C0-5AE234A27C9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362717E0-0195-4A82-AC86-2CB170326C2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57A4D7EE-9AA3-494D-A5C5-6BE2A637A46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21CC898F-E58C-4F14-AE74-46C5DA075EB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02787555-AE45-4D8D-AF0A-AED0D1D9796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60B56850-D5EA-45BF-8D0A-4CF84162EE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4C7F2FE8-091A-416E-A75C-00FC2F6930B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EC2078AF-4E2E-43DA-B012-1631454096E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690C52C2-2432-4C74-99FA-07FB884D8F2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FEECD068-AA0D-462B-9615-8B1815D589D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5CD80485-1402-4716-9D3A-4BBF4E0F60D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BE02140C-CD92-44E9-9F4F-15123D256C6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7145B2D2-590B-4A81-A2C9-7D4CFBB6493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D9A7880F-503B-451A-BCC9-B7DEE3A5772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F2779010-5BBA-42BA-8A39-E11B184DB30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F14553FD-1BCF-4777-BF08-7A53474E83B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6B391B7D-27B5-481B-9447-515D56B5196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39966D4A-63FA-4E90-85CA-2E398A00602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2C7FE8BA-4006-4AB0-A00A-C161BBAD309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2C88F5D4-95E8-4A97-86FB-9E651493E2B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1266C6FF-7E7C-4D75-BEFE-D8B61A12AAB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777FD443-B7A5-47E8-89B7-357A3FE1ED7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97B9E40B-B473-4661-9381-2439ADBAC35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CCDFAFC3-3E6D-4606-972D-E3DF7BE6968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1C557F59-3B3C-4F50-8003-E3F44C7C9A6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01B7914D-21C1-4160-AF8A-5342A86A65B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850B843E-1E7A-4F91-9653-7D5D8D90565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DD5D425F-2EEB-4672-B1C9-C34B9CDD54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D874020B-5686-4430-AE00-F8694539922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177D9FE9-B39F-4772-9C13-67F642E1919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B8ADEECC-1A8A-4DA0-9BE0-531717859D8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9381AE08-CB35-45D3-959B-B0707FD7EE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910319A3-90F2-4F74-88EF-9AE6297557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49C980CB-B7F7-458F-B494-F755F14688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B0FD21A4-32C8-4FAC-A269-E05278083D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88FAAC18-1611-42AD-923F-B3D346ECD5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B89CBF28-B1CC-4F4A-9BC5-DF1863D95F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0D32D78D-8D35-4C33-8A18-47181374E3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7C487ABF-6BA1-431B-B770-7E60F281DC6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8B804223-82C0-44A3-A795-21027FA4C7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C849DD77-6EE2-444E-9F96-B2A2114888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B1204DEC-B389-4286-B272-A6BB7C7F68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4F8237A9-11F9-476F-BADF-1FBA402BE13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FFEB8855-8466-47FF-9AF1-4A6DA35804A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BBD453AC-3B2D-4140-AFCB-5E433D7A61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9A3B898E-BB1B-4B9C-9581-0B1FEEA1E1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9428B419-DADA-408D-8FF2-C584EAB09C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D0AB5D6B-7E5D-4C89-8D63-96634C2E87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2C484CA3-12C0-4530-947E-040CA62C805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647E4B20-D6E0-49CB-9EA2-1BDC5CD7E3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1B231BB3-DA13-4823-8D0B-FB3F696E1E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B604291B-FA50-47C7-9CF3-5057F9430A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58612375-6335-4BFC-B4FC-DB26EE6263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C3FFC117-9EC5-4179-A122-F3CDFB4D6B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017F9364-1707-4ACD-8472-8FA6A0AC189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B1B65507-16AA-4BA3-9A03-F4BAF83D29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1FC8CFEA-23A2-4AE8-8645-0EE9C1DC4E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797E2753-12FC-43EC-97A5-481E248FC1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7F744B27-2764-4B8B-B6D7-AF280372A2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D2324DDA-BEF1-4CF0-B07A-B6FCBB0DD9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BC5B604B-958C-4143-A063-68776B4C8A2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E2599DA1-8C62-4FA0-99E4-5E875C49B2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944DC0A8-5185-4D09-8565-288109A3D1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77BF209E-F2F4-44A7-AD6C-3FF6957A4E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556300E0-8251-422F-B90D-BD8FDC99DB7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475F544A-27B9-4517-A74B-CC951918E26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617EC675-DBD9-47A8-B7AC-D68B8A98EC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B1B6CCC2-AAD2-4E77-8610-A7C7DF1259C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EF574E6B-60F7-49AE-8B12-A7C601D829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B4E75FF1-B52F-4D08-BE2F-5780351E93E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785631FC-BBEA-4A11-AE72-17EB34A8D74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33506046-A5AA-42ED-9B09-882FD6875F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12039630-804E-4E7E-B2F0-8B00923F02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76CB8003-B212-4B27-A57A-3AE29C36AB9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50ACBC01-21C7-4FBB-9D8D-3066A5BB4A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109F3CBA-9638-488A-9450-03D0C6E8DB6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D6244A69-C634-4B86-9619-2D6B0BD1C3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017BFC5D-3961-4F7D-90FB-BF326290A8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7E33D3C8-D876-4E11-86DA-A61CD2FC3C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D78ABA84-7023-400F-9CE9-70DB52B208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31202800-5444-4F87-AB6D-7B950304EDF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460A6BF4-E1C5-40B7-8117-C0DD9677144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7D713DBC-1D95-4C1A-BDC8-8814E9C3963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B48B3880-02FB-4F75-8CBF-E95B9406FE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2FB2D905-719A-4A8E-BB2D-FE0ED1ED00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D01817C0-55BA-43B2-8082-6504D7BBA7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AAB8A12F-8FF0-4C7B-814C-025DD98440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C0FDAE16-2108-43B7-9560-F6A32A3D3A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D2991F88-4623-4CCC-894D-FFB293DD719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DD045AEF-4345-4F59-AA7E-026D8CE9957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990A9461-5A7A-44FF-85E4-E932D8FC5FA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3CF6DECF-F708-470E-A500-8D45080AED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01FEE87D-27E4-475E-85D3-E57A3C8CD2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B6539BFD-4D42-45EA-8BC4-A9C1FD937A5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37D128D2-455D-43C5-BDD7-86CC659922F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31D2DD5F-66F3-48D5-AD08-FFDB1AFAF8C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7281655F-A32C-4AE1-AC06-00BD9814B4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D43EBE85-770A-443D-AD8A-92940FA6B7D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24656432-B71E-44EE-9584-D275BA2675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32C61EB7-7D7E-46CB-ACE0-FC106D0087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09B43128-C9BB-4449-9A13-77E146B0D34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587D6B55-6673-4B83-B0C5-299FE63C96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1097907B-1BE5-40CE-8F2F-8D006E0CCAE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08B96877-3D06-4794-B57C-5D38D79EC02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E52B4D69-3962-4226-8161-166AF5F879A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CCE04849-DDF6-4A3D-8239-C2AA25F3A5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473C5743-7C62-452C-BE1E-A9FEA8F878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ED18AED7-CFCF-4D53-A8B3-6A376A48EF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2A82A652-10F6-4025-9775-1FEADB5C4B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256161C2-327F-4430-AC15-769B7A88094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C092131A-5D4B-4143-8397-096D478AEF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FE50CB90-3439-40A5-9202-33A57E5CF3C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479DBF92-A90D-482C-BC46-E292A012DCE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2F6950FB-DD7E-4056-BE74-E76701D565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DF935595-0C81-4350-B36E-53FD1730D62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F7D93893-36DF-4DA5-9BA8-DD29B0157E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25FF546F-AEDD-4BB0-ACBB-FF50BC2C08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18B66D96-6A3B-4840-805B-C0D022BAC4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D12948A3-2A14-4B59-8C3D-FE126F7B616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F85C2868-4303-4351-8ECE-5CE6B87EC51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DED1DF48-46DF-4357-91F3-511FB7EFEB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FD62EC09-C431-4E28-8471-650438C0377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5B5EF1CB-CC57-45BB-A80C-5FD70FAC5F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48595622-372C-4FA8-8649-11BB88F7ADB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8151E124-B69E-45B1-B6EE-FA570811D2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06A165FC-2EC1-4E40-B4DE-6F44525A3B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539F94CF-0815-4ADE-9B6B-2ADBA891176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6EA92F86-37F0-4823-8D77-8BCA81DD9C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0FAE6382-C213-4649-BA14-59EB66101FA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1F96B1FA-6F17-49FA-8E29-5C4C30BE10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60908BBC-A5AF-4C2C-B1BE-F00E86A5BD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85F9D396-893C-4B45-A735-88B7897D3D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089EA7AB-86F0-4216-8B54-C274A11BE0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32526269-8414-4078-AAB4-1ACBD9C57FA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4CC371EF-E734-42EA-9F70-126E006E28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8BD7FA35-572C-46F2-8DC9-50E6B652E48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94222128-CFA0-4622-96B7-6E07F2EF68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005CCB6C-579B-402C-929A-72D5AFCD3B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2DAECA32-6EEF-4B38-AE81-EF1C3F574B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1C94658F-3EAE-4DA7-A1B8-F8F4C94D52A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214ACD2F-8717-4146-899A-F179A28E22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6C41D72E-8063-4822-82D1-FF2D815C26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F5E1A90D-6D95-4485-8B4F-28EC50084B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528DD811-46D7-4C00-A768-827AA377D55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782803C7-EFD4-4D66-9FC2-050E24A73E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1FAC70AD-C503-4DCE-B130-B0F0224DAD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B71A0296-F9E3-4063-B1AB-EF96A6C699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30630730-5063-4A99-AF45-6BA517FE19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30156B7C-493A-44DA-9165-93CBD1903FD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4DDEA565-FD20-493C-B147-5CA9267AB9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26823773-1AB0-4F5C-A837-EBBAF2AB946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71576296-6273-429D-9F58-880ACB11E7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95D8ADAF-0ECF-4BA7-B6E9-2CEFF2E757D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FBEB77FE-77DF-4F67-A0F5-EEB8BC8393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38D55685-1908-43AE-9E06-87455E8E266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42B3EAF9-BDCF-4CC9-851D-1A2F5FC688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E6957EDC-59D2-428D-A441-53704DA716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62A7B710-0D1E-484D-B455-C1F77A978A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353423C1-B547-4B23-9F0E-FB1EB792CD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0DF62047-7F78-430C-9516-B645A101B4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3F8F97CC-5E27-433B-A535-3596B7F530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989900A2-A95D-4A86-913B-44EB04A64D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5F91B2A3-45EB-40E7-8C10-233300645F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9015C6F7-2FDE-41F2-8402-93E0B05595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D53842C5-B4D6-4366-881C-931638F08A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9EF8BA32-BF90-4283-8F9C-3C58698A1C6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73B43E55-4E36-4C22-9F20-74E6E649A8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78DC624B-DF22-49FB-B0A6-351AAAD82F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8D0C034B-D474-4879-B5F1-69AB203F4A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05D79182-07B3-43E4-8DA7-3FE216516F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F9B883FA-3ED6-4B66-BF58-04CDDF9237C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88FD60FF-F10F-4D8C-AAE1-FDF838D52A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1D87DF40-40D0-4404-9B30-ABD8F93D1C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6F1AA792-6E50-44E0-8CEC-34ED108C4A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3BA76D32-FF69-4C97-90B6-2D103A4CCB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6B7CACEE-8EF8-4196-844F-C28FCAD6640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217734B8-8DFB-46EA-B443-02D06126120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BB4774EF-55A1-4889-93E3-BB743F97ED4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82B6E890-E248-471B-A4AD-5D5175C96A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BC1F1D9D-B7EF-4979-91BB-8A907AB5A9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8FA928AC-8672-4C45-9ACA-05EFDDE8FDF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B312A527-B156-4E8A-AFC2-5ABCB3097F4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C4F0BC4E-E7C4-4F9F-8F61-7ADFDE337B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BCD2244F-565E-4C3A-A444-DE58DE11295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22298AC7-E136-4351-A196-CB3A77758F4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845C607E-037B-47DA-A675-EEADAAD801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2B0F23AE-2960-4FE8-BCB5-8D196ACD729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43AEA2A0-497B-4356-ABA1-890E6A2860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0A33E2AA-57E6-45C0-8D57-013BDB4670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C31F488E-8428-4499-8E7F-5E8C1E892B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EF0BE301-ACEB-456B-A32C-7CCE9CEBED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4F69A320-5D21-4056-B10C-A5C58B150C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1615298C-2296-48BF-A084-9CCB722C4D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5F89597C-E9CF-45AA-8E3D-A6C96115AA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0FF923EA-A3BF-4490-A223-0B47306DFA2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D2ECC591-46E2-405B-95A5-C89603339D0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97461866-B658-4992-8EB9-6DCD3D9F2B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57AAB04D-E121-4BD2-A614-F012A6EF83C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FE131993-6301-443A-8E98-3E97E09C64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B928A02F-0E48-4154-804F-A37476BE9C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2B0ED0B1-35EA-435C-92E9-BE1FFB1086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382C70EB-DEB9-4E4F-AD52-7B1BAD097AC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DD5E0D66-73FB-46F5-8842-4F9B147116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5CC7416A-CC98-4060-A5C7-B37793ADD2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F601346C-99EE-42FD-B315-7086B29A21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5D104344-EED1-4127-A454-EECC5C58A2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85E940DB-6989-4C27-B50C-8770649B06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03B9BBC9-4EF4-4D69-8CDB-F771A3ABC2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AF365B3C-F133-4B1B-A0DE-5830D660EA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06F401CD-618C-4C74-831C-1DA7C2EAC29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357B5664-19F6-48D7-B829-E390620EDA0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75C092C4-4D4D-4223-9DF0-075AD1C1C0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B8B94789-4FFD-49DA-811F-1D3C816636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0F765C4C-42A2-48DE-A345-6BF4A1D5C0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9875C3AB-7FAC-434F-95B9-D118C1403A3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4359A3EE-5700-49EB-82C8-AF2800363F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08D6173B-0239-459A-8C66-59D41877759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646E8973-8BFB-4AE9-9906-98EE4EC27A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39A92811-E4FB-434A-9414-B0D1CF74F8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5849AD65-DB64-4F85-BB41-51861F8355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FF2EC01C-7978-4431-8389-3D7EFFDA02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26933FF0-79E1-4C55-A4AA-AAC1B986B66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EEE1A2D2-7295-4DE7-82EE-CB9BFC40BC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D07463FB-24C8-4CAB-A9A2-9A96FDF3343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AE9BBD61-42DB-430B-8E2C-EF36A4E7144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CAB2779E-5CE8-4218-BFC4-0E4003CFEA55}"/>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8E52A5F9-989A-4ED4-AECD-4577EAFCBB6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75F419E3-3E03-4A30-BF46-65973EEDB8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BB4A1E29-B566-4050-A210-1C377C5CE73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71357824-5E34-4864-BED0-A1C715B12C5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CB2A04F5-DDE7-4F71-B9C1-2842E9B22CA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B99E1B90-0BF6-46CE-AF47-D3AF52CB2E5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E74A3272-B4F6-4247-B9AC-8DB1DFF461F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F8250565-677D-4AE1-966B-6DF47274970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5BF6A152-2910-4596-87B5-5AA187E8602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155D1520-88C9-4BB2-8B62-3B492CFBC9A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57365BD1-D2E1-45D5-8996-CDCD526C4F2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9CDC99BC-5E7E-4BB7-B919-11AAFAC88EB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1DFF9DC7-94CD-44E7-B1B2-F55786018FE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C5ED1981-A25D-46BA-8F29-333E5CB92C5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3AE6CFDD-6A1B-4975-B260-DCD1A5C92B6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7C52D017-6A61-48F7-855F-A843D902C1D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559BFC7E-9A2F-443E-B504-3C3813F40B9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7F46027E-94EF-482A-8BCF-8AB4C5EAEB5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6A23BBA3-E719-4CC5-B80E-2F2D15FD0E7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4B9F76EB-AC76-4B06-ADD1-0DA8DAC61DC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33579D6B-B996-4FE2-B6CB-3D577327802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B89FA95B-0A5D-462C-ACDE-42BBF161A3B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53AF59B7-4B51-46E3-90B6-DF4BD945D2A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BB2680DD-4249-42EB-B3E7-57EE00C0C21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EC1EA7E3-FF60-4422-A1C4-0E1321F18D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487C0BE9-0C0C-4DE2-BC61-DFF3D3EE439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9BC41AD2-B705-469D-8E11-9C3FC0C0A4B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CF11BF61-5415-47D4-831D-5667846D294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544EEE8B-B314-48A9-8D28-DC21A3BDFA3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F06E82D3-A31A-4A82-8C79-70B2F129789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968DE486-94BC-4C31-BB31-880E601596D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158148D5-346F-49D5-B0A4-1758D6344EC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E20133F1-EC60-4A41-9E8C-013FA7488C7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655E6039-A762-4768-81E3-E970610AB59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0B2B5A85-FEAB-492F-B777-A2733791250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80CBE788-DE8D-4945-AA5F-59B79A147AC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363E9430-CCF7-4877-9F24-CB05DBB8ED6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6A726835-7FC3-4B4C-B1A5-D7E8CA69781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10B94A6C-0AA5-48AF-ADB4-5B6A6BCCCDF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34C7A75E-3B63-498A-9877-A31FE42E6FF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2CF75CBB-C30A-4EA9-8D9F-394882D3E90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301D032D-360E-421C-8BAB-41DF640666D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958F67FC-AAFD-4BCB-830A-D0E9E3F1745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2A527574-3A93-4BFA-A21F-06BA8C9F9DB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248ACF4A-66AF-4DB6-87B5-43671216A55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3632971B-546A-45C5-9BE6-25AFB48DC56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CB8C76E4-5752-496D-8819-20E2657FA67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F1465FA2-C41A-45CD-B2B8-D59DB99083E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6E97A863-51F6-4AF7-9615-998F57A280B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5EB3EBB1-9F3A-41AB-B9B1-A890BE4F8A2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B48CCB35-0593-4F06-A8BC-7314A412A52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627B6E7C-7ACC-4409-B338-E062027BCC5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EE85D127-CE13-4534-9ED6-3A0C3B14914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13419E38-B2E5-4A1F-AE4F-1A38B42050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01E0C9AE-7D5A-4052-A558-A747FC5843A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08CB15F0-4FCA-4F43-A387-E2DC99E8E81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123CB2A4-EF8C-4F6C-9837-920E4C18DFC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23BD627A-7E65-483D-9D9D-2BB729B4A8D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0DEBBC9C-932A-42EC-BFB6-E508E480200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DB0D7557-435C-47AB-9430-AD9C4B0C550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07F9FAF5-3232-434C-A851-1D75BF3D46A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2D6875B7-751E-42DA-9753-A81A4726A8C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644E29D7-0F59-4C58-8B56-5719ED8F1ED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0AF703BF-3EB6-4548-B937-B88C0BC92C8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8CBF1CEE-2458-44BD-9D27-A2C6E9C3590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80E0D867-8E12-4E52-8207-43A28534A91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322C4CC1-D24F-4311-9715-DE4D973A77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6502C926-FF55-49E0-94FB-87577309C5F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802DD7CD-1A9D-4AC7-904A-456D08B8A00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7A3E1584-2D97-46D1-8685-5BD93BB404F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851478C4-D0E1-48C0-97E4-D19C9A9C64B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FD16CCC1-CD33-490D-B22D-1237ACE42E9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4AD8E0F2-7592-4024-A8A6-EA01018FDDB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E4F26878-F85C-4880-9562-7284A408D0C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0B7D2695-8B6C-4DEE-9065-23BF3906F2A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26501B6B-3E22-4334-90EB-4C2A53FCB9E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7DAB83DD-7B6F-4503-A3BD-81E8BFDAEF7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C10B0DE1-F191-41B6-8A81-9A8A8FFED84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F4818B90-2FD9-4F3C-867C-1F0501CC2E0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120F799A-3241-4D85-B11F-013F709A9A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08D30C14-FDF5-4B9A-81DF-C2C07CAA401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8D8FC7D9-99BE-4AD9-B4A7-D3EC7AA87FD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56C0868A-1134-4FE8-86B2-D423B678236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372D833B-AD2F-4332-A79E-11035EF7AEF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21DE3106-8DAA-4850-A32B-5B5922D194F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03D3E876-F9AB-47C3-A662-6B166BAAB9D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B19E1015-4203-4251-B04D-FCAA02913E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93D7409F-7FFC-40F7-87DE-6C2D40B4DB1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9994062D-2126-4DC6-94C3-3EFB98A37B5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ACEE8546-57A6-4BF2-A772-562939FCF77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853E3707-FE7E-4652-AE70-05B5438D396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5D2628E0-10BE-4B30-B84D-2EBBCA9DACB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41AFF26C-33E4-4580-B4C6-669D4EB451D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4253F573-61C9-4ED4-8865-E3DE951DE27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08BB8B12-02C1-465E-9C1C-4E7CE8F8E5B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4AF3F8C1-E9F0-4FFC-B317-5DF541A08B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F517FEEE-65F2-49C6-A174-F4627640E06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7AF3C3F3-A3C7-4BAC-BB15-84DFDD57A55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B5DF9718-1331-4519-834D-D2060655FA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8F0D3DA5-32BA-4555-978A-D1D5E0AB6BA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826D55D0-FDA4-4987-89E5-8969A0D4BA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409732C2-569A-44A2-B106-0CA7623760B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484530F7-1932-4D77-81F3-BE13403B19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E7B1282D-6835-4954-9569-B85479D046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973DD576-4DC8-4131-B236-97D2E1FE20C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A2E8A323-892C-4716-A208-37B03E4C188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1E1356BD-12E4-439E-9EF1-112DBA82E16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583BB348-4599-459C-9D22-1137BACE0ED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40312445-FDC2-4181-800E-F0165C0F6F3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CF826EDA-CD30-4AAB-BBCF-E0EDA5D1AC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D0805A55-8799-44AE-B842-DEB1DD3DC4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DC429AE0-45C7-40B9-B1F0-19AE2F81EE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8B84FAD6-0915-4CB0-91B9-B2EE162500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5907D0B0-5533-406F-83FB-D0ADAB8E67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FE601DE4-5A65-4C52-A617-0515FC6BF2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13919E5E-3606-41E2-A5D7-4FE5A1DB0B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CEDCBAB6-99F7-4B59-8155-0F5E9C3429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1780AA83-05BA-42BD-9FC4-BFA91D46AC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F0929EE1-4458-4DBA-80B6-F05E0AC6092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E24D8037-676E-4B8F-9F37-A638337FA12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A8B2C224-D80A-4990-BA88-A4E8E8DDC2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E2ED6EC4-E330-4BF3-9C0D-AFD0DADB638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C8F5ECF6-E57B-4EB6-B949-518A110F949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79750895-317F-4949-AC88-BB292CD861D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67827978-FADB-4AEF-9529-5887E399ED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C37DDE48-7F32-4491-B6F9-2D3D158CF9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36CAE917-DD4D-44C6-9F0E-4C059753D10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42B498D3-ECB2-414A-8965-7600088C8EC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767F9A03-36BF-4C21-842C-BE99F5F5DF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412ECCD9-2B71-4E81-96F9-3371D2BFC9F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E0BD6AE7-1E79-429C-84B7-F64265EF7B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910678DD-3397-472D-A920-7BA546C07E3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C0789CA9-1E4D-492C-8274-125483E039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84036AA3-7441-4632-9599-9EAB5C6FE6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B380FA78-B2D8-4345-8D3F-012C50A0796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F032D371-FEA2-4C36-8A95-BDC15427598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711F8DC8-7FF9-43E4-895C-B2F2144D0E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B9EF9E3C-9350-47D8-AC27-4E8E36B1C29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14CD4327-99C4-43C9-8562-E1340925BB5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F7FD3906-8BF7-463C-A514-C7E51E1914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0F6C6A5E-DD40-4109-97CB-C3A365D9DC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589083BD-79D6-41E5-B35D-1F05DA834B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4713EC34-C1EF-4892-B1CD-3BB4F17ADF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0B668325-D29D-4AD8-BC43-5879026B31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76CEBD4B-EF0D-40B3-BAF5-3625EBF5FE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FAFDFB19-6F46-4DB9-BC55-7EE12B6FAE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812F0550-7CD3-4906-BE0C-1F8D311298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E10B05C9-E9DD-45FF-BF03-F6B6B93AC0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D872CD1F-ACBF-4B0A-ABD0-23EF980159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8211A632-B66C-410D-AD5A-4A1EC91A453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F3D50044-0C1A-427E-9BE5-65FD559B7F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BA920F1C-46C3-47BD-8D93-52D377932D6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1F3C9452-C835-4F67-B9CD-1EA58012720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58CFBC0D-4E27-48A8-9D87-EA648CE38A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858F26E5-9D3A-45CA-8434-55F451FCC6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F30D3C32-FFFC-4EB5-B678-D98653B3246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C7848355-5967-4103-9D36-2E053221A36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AD9263CA-27FD-45FA-A70C-9FF9C7ACD0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9C71A725-687E-4BB2-992C-254C290811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62DFF4A0-BDBD-4A88-BECA-A983D3E0C6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C900A8ED-0B77-4A69-9626-7EA2B7E8669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19C18AEE-20B2-4F2E-AC13-FD441227E7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5EF2D939-8CC3-4F2B-AA60-3F961AE4E9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E48C1703-61D4-441B-9543-0E524D1CC3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5EB2AE5F-DB8E-4F01-8F0B-7480B05B8A5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B23E7B4B-7741-479E-B9C1-5B478C9D68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839F07B7-C231-4B87-A321-43E0F515954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DDC3D65F-926C-4E0A-8AB2-1B1664A5042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2E143B12-B24C-4E96-BCC1-D55ED5A9FB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9F62B294-188F-4175-8D43-68B74BAFF23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2F9BA4E4-6567-4CF2-BED8-A9F3DCF36C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4320207F-3E8E-4A36-8840-E6BFBBD8E1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02293C93-68FF-47C8-B6E2-E96CFD1CBC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03E53FCE-54B5-4E96-9819-603DE03475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B364CB34-026D-44D2-83B9-ED0ACF0AC0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496A6C81-B7F9-4D52-90CD-2C19345EB86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A6AC3736-048E-4390-B64F-6C2F51F0F3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50E1F01F-F97E-4D41-AF26-102998A7D7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CA3D3DA9-3991-4594-B1B7-3EF8A998D43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4A8F34CD-99EB-40FD-AB7D-F787A21AE8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C34CD826-5569-48D2-8D6D-6131514C3F3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3CD01A00-C4CD-48E9-A0D3-B1A451345E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CC97FDE6-7E95-4E90-AF78-D9CCD523604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7D8B9D67-45AD-491C-81F3-AC94B90224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D9E39581-9578-4485-B636-91F434D384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5502CB9A-13E3-4DE8-A9D9-8DAAD8ED950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584A6572-374F-4F75-94BF-0AE6D78703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40CF1223-A66A-4753-B3F1-639849EB202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2F9AECD5-C7C8-49BF-99D0-D22CB3DE898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B9CA2929-33B6-4029-80F9-77E8C13CBBC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3E2BC5A2-63BE-46B6-91CB-1B795AC4FE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AE61AA1B-2C30-45EA-9B8F-22BC38D71EF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370749DA-625A-45F8-A896-E7ACEBD0C30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4574BD18-48A2-4573-AAF1-66AF6B67D0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2F3F5EE2-0296-45DE-9A54-D1A2D57E58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F73FEE39-057C-4B4C-8D8C-9886633BFD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9797EFA7-AA6E-4844-93FC-C3BC4C86DF6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DE87EC38-7EDE-48D4-A5B7-60D2C33E345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0DA55803-EFB9-49DB-ABCD-5B7C1D755F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10365FEB-5E28-45F6-931C-C529213DF6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0491ED60-6F73-407B-9230-8EABD52AF9F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A19FC951-A334-4F37-8CDC-F31FBDD92F8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112D1B2C-949A-4698-B30D-8FA0BC25BB4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BD4519F6-B0D5-4D9C-8BA5-7088E21EF7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44D11BD6-0D1D-4BCB-B3DF-EF44DD312EA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C3F31FE9-4F15-4449-9FE2-42A406D78B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6E0CAB6C-50F3-485D-AE48-B950510D33D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DE0C4D9E-B6AA-433E-9FE6-F32017AD22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E8E04020-FDA5-4CE1-8D04-21685A2C09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1BF8024D-F21F-490F-8C7E-FA48019C16D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8937728B-031E-4D70-8D41-FFBBA831041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5969F5AE-94EC-44F7-BE50-06DF0AD6AD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A9035944-3166-46FC-AD40-3E26DC82CA3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C55194CC-67B8-44DD-8EFF-A8A5C17EA26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BB834845-081C-431B-B2B1-4120734D63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73D9548D-5D5D-4217-BF79-394897E6E3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37C449BB-87C2-4D7D-9237-784C61DAED5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D2016AD0-B4C1-433B-9AE8-31623D76D0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619F3AC4-A5CF-4475-84BC-AF4987E62C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CAF794C3-3131-4198-9032-ABA30B1296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A92636C2-26E4-4B84-8B40-FD0B919E135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5515D657-2C32-4596-845F-E283B115CA0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1BC13614-9723-45C2-AAAF-56938EF40B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7178B0ED-1FED-4490-AAC5-82219041906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DB612072-6409-43B1-B455-43BAD08A3AA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ACA5A75E-03EB-484C-AD30-BCED9720B1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2DE623CC-A4BE-424E-BFA3-344FA9FD3BB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EE635906-D798-4907-B938-F79571FEA5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DC1551B4-6562-40A2-9BB5-D4DAA09596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EB9A23AA-AE9D-4442-A296-E3F445AEB9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E48F51DB-C447-456B-A0E1-0ED88EF808F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5F54DB7A-5AEB-4205-BA8C-B00F5CFBEC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24EBAD56-E6EF-4A46-ACCD-4F9DBB56F9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4CF21F33-19A2-4BAC-83CB-18405F4157E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33322DDE-1E45-46A4-B66E-C1552A4FAF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1E692538-7183-439B-B835-C6509EF9389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FDFB4A2F-2D39-43E4-B105-35B67AE018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32A5A4F7-BD1F-4F5E-8399-81151869B0D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358E2864-C200-4373-BD88-C3304BAFEB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23BFFEF0-7D3A-49A4-AD61-D6EA2707EB7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584548A9-2CC4-480B-9EBE-78286CA480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6F60BFA4-BFA1-426F-AABD-6984B57A7C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0FC55489-AC83-4DAF-9D9F-507EFD1899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D242DCCA-4237-4C36-856A-0E56772DB6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7AA22FE0-585E-4CF9-885E-4B248F1B8C3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199F3412-6658-44E9-A16B-8D446584EE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3D3779BB-542D-4003-8948-9A4AFBD012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6B29FF12-4BE0-45A0-B743-7DA7B820D7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80BF9525-A665-4377-8572-88BE054AC7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00097CEE-DEC5-4927-B6B7-6749DF29E84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B6B9F43D-3D4E-481E-BC30-33BB29ABAF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FBF2F224-19E3-4D21-919C-CBE9134B03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CE632C65-0BD5-4C29-84B2-360108A073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8F53F914-63F1-43E2-A050-5105EE4BB7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6BAE4DA1-12B7-4D05-9629-6358A53F49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2D89D0B6-E3B1-4689-AA96-A39B233895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6F892942-AB65-49A3-BA38-F411762BB8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ACD3ED10-C791-44B2-8842-09C3CDA7A84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DBA6DC47-ED39-4021-BB61-4EB30B236F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20EF9252-FAB3-4474-95D1-4331D4CB88F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1D4C9333-8A37-4308-B296-03A5E49C255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0FDE4FB3-A16A-4D02-AFB2-B9F34522B1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C1EAC5D3-9F93-4B28-A21A-4EFD071021B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B9074511-F961-4D47-B740-F6A1BBB8A3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C3B8DD37-4494-48F5-B299-2577684403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C8E1FBD8-6074-4A66-AAE4-E77264E43D2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93BA4E67-3EB0-4E31-9112-F865466E931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F51D44C4-A7B5-4F0F-8CCE-4CC66BD01F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CD18921F-A443-43BA-B366-BF5CFAE4AC8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FD091A98-F1A0-4C78-8474-580BFE0160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30087EAA-70D5-4FDF-BD70-F9CC9DE1AA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080FCB5F-8CEE-4289-B023-CF2E4A4A82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3AD990F3-F88C-42FD-BEA8-6B2B08D8E5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8B58F61F-403F-4B1D-AE66-1CD1D5DA0F6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8A074AFE-35F9-42C5-9864-0BDDCBFEAD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6B305759-8FAA-47A5-94A6-988F4D94CC3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E73054AC-5474-49A2-AB5F-EEB1A8E676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89FDD540-CA85-4804-AD11-E752F391A5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37E2B71A-047B-44E8-AE01-1C74D5B82C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1F7946DF-8627-4EB5-92E9-990731F47A6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8F2AB436-E543-409A-BB85-3876174D22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7C2BF19D-BF56-49AE-A2D9-6E27EC70349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BBF8E436-CCF9-4625-9D25-A35D32A7A8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B7CB803C-2664-4708-9783-80BB2121B4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FB84E695-B51B-4C23-83D0-212711A5ED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03249366-EACD-495D-972C-57DCA0025B6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6ADB542A-3624-46F4-BE18-59370D84056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E7095E8A-20D4-4408-884F-60A535638D8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EBA253CB-8F47-4F4A-A2C5-3608E7877777}"/>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577B3832-F36F-400E-A017-6C237CAE85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2A336A21-E725-4B84-9CFF-ADA7043788B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1904B4D5-9FDB-4C83-BC77-CA4AEAAE07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D56E0B84-486D-4829-96DD-703897CCBB4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57C72071-738F-475E-913E-2F07945B86D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BD314336-09D6-4702-8FD1-E7707581AB6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34598CA8-DFDF-4449-A464-CC79F195D47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9A995633-A208-4B80-899D-33418C539C6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1734D030-487C-4DEC-B533-E17EEEE7E40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76204AED-EE12-4F8D-9FA3-58C8120004B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1F79A3BD-1A62-4A76-9180-CFFC4A8C34A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3BDBEC19-8D65-4A69-8546-9A7F5A60E2A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EBFF6C0E-9525-436C-A2D4-712C932FD6C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C729EDC7-D3B9-478C-A1F6-E0FDAE89E7E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4A488111-3E2E-4D8D-90DD-B676A6D1DA4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483E38FA-20A3-498D-A341-40E4ABB3AF4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521B9127-54A1-4221-834C-AD5BDA201F8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65C7E30F-1773-4F2A-A615-96688BE0761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FDCD2858-692D-45C0-A368-D66D14041FD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25E8E29A-A053-4DD7-9487-2DDD10F7EC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7AFB28E6-3D01-4842-8B81-8E99B419503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AC9960C4-0D5B-4FDE-BD17-469E4230EA7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F1CFDFB7-46DA-4870-BC95-705298DAE4B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8E17AB99-7B2B-47EE-BFCE-948F55C063A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91AA529E-7DE7-49F4-BF3A-0F78BDEF3F3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0FEA9ECC-8353-4E50-BBA1-1CB5CE9FD16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4C8E63B9-EF9B-4BA5-9654-CF29F23FFD1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D27CAFF7-9390-4043-A325-4C07C3A27B5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F7FDBD24-535C-49B4-A146-D8315E30833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961DCD1F-4CE0-484C-9902-20A7660B4AC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1D0D88C3-27EE-435D-8FC9-1E7006AF557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CA996ABE-D19E-48F4-AD85-C31FC17C510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0F2DB534-75F4-4048-88F0-30CC4F150FB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2058F81C-4027-4D50-AB62-FC05C974E1D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CE8F9E3B-8D85-43F1-8D1C-E125B38C485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E608E5C8-65CD-46B4-82C5-2503D552E41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5C0C14AF-D86C-4E50-9F3F-359D2C6F1CF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9119A21B-1732-4636-9C99-31E5B9A4669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5DB9E704-C117-420A-B4E2-864CABA6EA6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A93EBA3D-17B0-4349-8863-393BFA7094A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A1477389-8C1D-43B0-8020-986DDD9B133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6BA4CAD2-452C-4AFE-BFEA-A9125AF8719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C53176ED-74C2-416F-A534-7A485F6B8BD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F5CF35BA-1CED-4596-9CAD-26644051D26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9D98C9C8-D3A8-4B48-B0D7-F988D3E9F8C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54F9B62B-A6C6-4DEE-8C9A-69F685081EF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A47939B4-8FCB-45AD-B2F6-5DDBDD61E0C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D384E115-0236-4F6F-88F8-19A02420696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711493C4-E3B8-4A82-8290-26E5AF23146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FD828919-E407-456D-AF0B-8BEA8C39F26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35D8F255-826E-4F13-BB1C-6DE57A72E4E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6E7701E6-A92A-444D-8852-D30E1E3DD3D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46527326-A246-4ABC-B833-9BEDE020D06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0541221F-327C-4375-BA07-E6AB14D456C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EA0C5E1D-CF7E-4E4F-AFDD-91196088F96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408EE300-82C7-44EA-A5FE-1C0F3477C84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282BC337-AEF5-49B7-AD05-E117C8B640F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3E2E20FB-B132-4478-9838-2306F50EC6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32833C4E-296A-467B-BCE1-4198FBECDDA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6FAA3F1D-38FA-4CD3-BE4C-44917FBC7AC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3B45C556-388C-4A61-9778-EF9961008FC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76B8EA1A-35E9-4685-9BE5-707E5E5DA80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D3E1989C-83C3-45C8-9273-ABFBD493A85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F3962E4F-FDF3-483A-A13A-5B4D4D4257D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A124D5FC-29B0-4A58-B7EA-858FA349C0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48D8AD0C-A287-4933-A231-42D8DB2A8A6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95519EC7-9D71-4688-90CC-728D690F48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5172A0BE-CA35-4C50-88C0-D4309C6DFC1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08C93350-81ED-4E41-9F26-FE4F74E71FB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83B154D0-933B-4527-9A66-C0B59A1B4F8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AAB852CB-7E7A-4242-B5AC-B62CF034100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CA2862B1-9761-49B1-BBF0-03B726E9FE1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F83F7556-BDCE-43E3-9FC6-F0BEA6AAFE8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75283D0C-9275-4BEC-AECA-481B3D755ED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F8B46243-8141-4A63-A807-3784E135EDD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A0E4A2E5-39C9-4B07-869F-E10AE05A449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E062167C-F01C-4EFA-9DEB-DFB82F07543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139278F9-F02E-4F68-B1B5-3BEA3F46E03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E3EE6D1E-AD97-44E1-8BD7-16AD5DFBC47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B279C5B2-01EA-4642-A987-7CE9DF73335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67EC03F6-468E-44C8-8ABB-F5735E90DB8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C9BE4E17-2B0F-4252-BFA9-90C405570C1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F88CC172-0B47-439D-97FB-104971E949C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6222F094-D2EC-4157-B69D-08994E1D7D1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0AE7BEA9-DFD2-4CB2-859D-2B62F536D1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8CAFB4F5-B0B6-4F51-BC52-7A740F08FE3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1A282A85-E6F5-4DBC-BEB8-0FE06CA30C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78085313-1ED8-4F25-B3B1-483133286EF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35FD0F55-5EE7-4C2D-AC2E-E1230C85141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79B48E90-7AF7-4410-AAF9-FE7C4EB3B5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09F3B6D7-A503-4D31-8869-5845264CC0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AC72D5A9-0DDA-4B90-AA0D-B039D7FF527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EB3CB244-95D2-4DAB-A09E-F326E41900C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D80415EA-AC0B-4651-A1BC-E8D72BEB2B6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E8A93EA8-EE47-40FB-90EA-45C646C3005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B53E876A-C3CA-4FA2-B42F-D069439EC9F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E07BB60D-D85D-4BB3-94ED-506B80ED8EE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BDAB0D0D-F942-41EA-B7C3-A74C4A6F4C8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A3E8DA7D-BCE1-485F-A871-C78D43FA6C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ACBDE335-3BEA-402B-8F8D-E9EF4C7CEB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C983E620-F34F-456D-9C7C-4DF81AA72A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D940AC64-A328-4FC3-A3B0-B3968ECDB3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E4043F0D-2D15-4234-B0E2-F08E7A9D04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EBD9386C-1EE2-4ABE-9BFB-99BD746A3D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0649552F-A191-42D4-9192-4BEA584F24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57285951-4BA2-471C-9427-63DAF9028C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352F0606-CCEF-4F1C-971D-3194B5F9E6D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48EC680C-31DF-47F9-87FE-6D552561C1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C360E369-F3FD-453A-90E5-747142DE522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32FEE624-4649-4C23-A68C-94EC20E5FCD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762A8633-85ED-49B1-BE7C-1205357B348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04E93874-A873-464B-A455-77D3B412A6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863BE15C-035F-49A3-BEE6-6FAE9C2655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E73E179E-0229-4D80-8808-B8236CA5F17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30117A76-ED47-452B-A8BE-47D8CA33E6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89F973D4-CB59-4D71-974C-776A7D30A5C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7DAC76C7-51C0-47FF-BF72-002FD26ABF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55924DDA-996E-463E-B3C5-30025227FA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EFACD7DF-28CD-4E07-BDFD-70FAFADF1B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98C4BC2B-4281-4D9C-B8DF-6E86F72392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B256DF86-70EC-4A92-BCA3-6CB1076989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A0BDC4AB-0C63-46CB-888F-6257EC67C0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DE6CFBAA-EDA6-4663-AA52-DD0F35FE9BF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8373884C-3951-4BFE-9A14-A1A75C0247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838BEB86-DEB2-43B0-B939-B47EF20608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59EFF53A-B3F2-4BBC-A322-70682F8BCE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938797E5-88E2-4967-9632-7B4DCA8C33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7875429B-CC8B-44D9-BB3B-FA96BCFC8E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5D11B14C-9962-4181-89DA-3EDCFC24EAD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0C5DDA1C-7883-42C2-B159-121618E52B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9F2C4855-63F9-47E4-8D52-AD9A611B27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0F71CE08-3FAE-46A9-B2F9-EBED33C7FA0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F11E60D7-F5E0-4A47-B7DA-84E597BEE5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652DD39E-92A4-423A-831A-1FBBB9160E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F8395F14-1DBB-4482-B15C-78049BAB09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72CDA105-03A5-4E18-A335-811928F897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DD84DBED-C652-485A-83C9-8A3FB559199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5E46E365-8155-4B34-B98E-E4AAF23BE2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9C3A71DB-F62C-491C-A15F-00BCC1A6FE0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C45EEA8C-C31B-4F68-AA5A-4167A13439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D5B7FCE0-6879-49F2-9236-2FBA647302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AE1B0FF5-2E9C-452E-AA12-C2AA82864D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9EF31055-7182-489E-AAA2-D9E2F212679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EE3E5EFF-1764-45F3-9463-862290DC67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7C5D5CD9-9B95-4262-A37A-7DB46FBDE47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346D79AC-A646-4C7A-BE09-E383B34244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6955D11E-5E16-48F0-A3CB-BA1A74E376B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AE15949D-F66A-456A-B89A-C3D5AEA969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8665FEB7-84D6-4ADD-BD99-8CCE6C755B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0999B525-4359-4FB8-9A13-084179D030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C8D7BDAE-9938-42AD-867E-FAC3399DE0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5DD19549-F316-4D71-A258-6F07B33035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01EFE3F5-7EC7-41C7-9F65-74FA12813D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D4BB940A-81C8-4859-8970-41318E4812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F89D7A79-8873-40AE-AF0B-3C8430AD8C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FD13579E-33E0-4299-8DF6-3454CF1B85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19899002-06D9-4628-8095-1DB9353B5F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C79B0B1D-6535-4874-9810-9A1C31DE0F2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4C25208F-8FCF-46A9-9289-8F90CCA6E0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EB17810B-E4E3-41F6-8500-EB144B8FA1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CFBA9BA6-E0B6-41D2-9F99-2BEAB56BFC9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34F0F7AA-7572-4EDF-A6BF-B9FCC62FB75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179C58A5-0B5D-4C98-AD89-5957B6039F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6C1A2436-6337-484D-8468-FCABAED8F9C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79786ED7-0A99-4519-92FC-8876F11729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FCE8B63C-91C4-49C1-B735-EAF0AA30FB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AC01F11E-8F6F-42CC-A519-82F260CAEFF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4D0E63E2-63D9-4BD4-A667-3A57E651C7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C550D70D-1EF6-4292-A24F-DA798FCE5AF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FCA0D73A-B19A-46B0-9763-735E4863E29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73BAD346-1A92-4250-8C7E-B4A726884F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507E03B3-C4A4-40AE-A861-7C49D6491FC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1C26C66C-ACB5-4407-A2EC-43BFD18442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1FC0E465-D457-463F-8143-901E0B878B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93D2DC37-37F1-4E8E-8DC5-65004D81C0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AD4DB01C-92D9-4D9E-98B1-D92B20EB34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29AEF5CA-AEEF-4C40-8536-A10F225613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0611D7B5-4F88-4123-B1BA-E63829A531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F0F6906D-543A-4A7C-B906-AF62107B02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EDF4140E-B66C-44C7-AF41-C7178D5FFF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1594D474-7DC5-4F42-B081-8D86CB3543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3A8F3338-807C-464F-B54F-E233155175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2D4316CC-0363-40F3-9F4A-DCA687EDA76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28B3F7E8-AE44-40BF-A3B3-AB24D84790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EF2E8A5E-8AA2-4C45-AE94-D4F9F87EB8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CAE3F5F5-CE35-4985-9150-205887C1F1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1117DC01-3218-4321-9F9D-17AF11D7E8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C9639F0E-F7F1-4CA2-818D-F010D7C20A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E2831B75-F7F3-4222-9165-3AD3466B59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3EF9651A-FC29-401D-BEB8-908384F8AD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7B98CBF5-535F-4A10-833D-1DA8C4B00F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95F9551C-9332-4B6E-BD9A-7861F6E374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0FDC8549-7F89-411F-BE6C-8A7950668E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7023A3C0-BB78-487D-87BD-640EA89BA07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615BFFE1-6782-4751-83C0-82CB5EEBB5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1B346031-AEFF-40B7-97A0-08A86D9D5C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9179B00C-1377-4288-A2BB-DA5CA9EE15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7C177648-684D-4F67-8D0C-81652C0683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CE33F21E-492A-4AFC-9005-DBB96114C2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BCA8CF9B-F9EB-4268-B66D-EF1E0EB342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F6D98547-94CC-42DA-BB92-EFD2154885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C8211197-B214-43B5-8A42-950979AE71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138E4AFA-9E29-4F52-846D-7048965660E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8291A35B-4344-4774-8739-788DC7B098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A0793372-528E-4935-BB26-BAF71962E5F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E04CA849-98EB-4204-871D-B0DC61E1F4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182A7745-1AF3-4250-A0A5-E384A8BBD8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71611A77-8365-4DF1-BC12-09D3164ED93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CA722F1B-D5D0-4BCE-9836-7B2F8BEEAF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1106C31F-698B-4865-B9E5-48C37F5C0A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8C2C0D05-EDBE-40B6-B053-6EE201553D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E0853B53-9897-4CC2-AF13-653955F02C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19491A9D-9B39-4229-B009-E7BEC85241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71F22C4F-EE4C-4E50-B96B-E307FBBA0E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19184D47-664F-4263-BD97-E391B13098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3EA37C17-DFF4-4479-B4D8-646214CE20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8C34F6DF-4406-4FF9-9839-D210ECD6432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575DD1AF-F6B8-46CA-90AF-FE579104B0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A0684001-B5AA-457C-8F2F-AF9E294695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7952EE22-B57E-4827-971A-072686B255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6D97F1C9-BE4C-4FAD-AA08-DC19A9E114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DC8A0F8D-BF73-4C12-A5B8-3B7CDAAC73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AB6E6D98-E2CB-44FF-8ED7-DFF874A951A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E5450E34-72D9-4E26-82A3-78C9DEC6B3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C26FD6D6-934C-4A3D-8E3C-47E92CF092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4A0C7EB4-238A-4968-A665-6254F2C11ED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2DA61797-E14C-41AB-9BD2-A6B1DDA420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31AE9E4A-B1DF-4938-AFE0-DEEAE325016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55B8E52F-0D66-42BC-B693-E58684092D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89E85BD3-7E66-4DF6-9273-E3495E2D9B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C7112B49-744A-4A6F-B731-496519969E2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FB3254DD-E208-4A57-8345-4D22E96563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21EE25BB-4004-41C7-9A2A-E8035BC7C9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21F4C72E-EEAC-4786-99AE-5B05DE6921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D96BE0AF-862F-4BD5-AA45-E2B99963932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AC177710-2871-405B-8CCA-AC9E0D762D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5421EF79-8D6A-4DD5-944E-BBC0A7F68E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11EE0BFF-D18B-4075-9471-BA0E883244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A32451AF-F054-43F2-840B-B3DEBB03017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1133F1AE-AC4D-4093-BFD9-13D1EDFFB7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34F7E17A-AA3E-4684-BF3E-48C9E758FC6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8BCA9451-24D7-4B76-AECB-119833900E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031413D7-CFE1-404E-9E2A-6744CBB077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9ABAA5E2-1FA7-433C-8AC6-F807F52846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3424422D-250F-40AD-AE71-E676297003D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7B42896E-2C4A-44BF-BB2A-4F5774F120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D8F33814-B1FF-4B81-8C6F-A8AB75A635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334FAF27-33DF-4491-995B-BDECCDD84D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20A862DB-A04E-4785-A28D-6CD4D458378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1AC0A195-F1D8-4165-A4C3-E88B80C514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BAE030B6-C927-4E98-9F1A-9DDD690FC5E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9E83ABF4-2E44-462C-A5C7-9321823678D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4C30714E-19B8-4470-8D5F-34ADF33EF4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CF7D777B-193D-4B55-872F-A57194216B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04864B42-13A2-4BF4-A900-B0E17C6AC95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19A77FC7-B961-4D17-A399-03EC3DD7CD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D38E6249-DDC7-4496-B7E5-4B74BD5ED3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E90DC6A0-B75F-4641-80C4-5B16B6BB3F2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14C1B7D7-A8BC-42A2-8A85-E9139B6D0B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498322C7-D57C-4F22-86E1-2FFC335284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1139D4F0-8E0F-4A1C-9058-BF3BB6FD8F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4A2D2A81-4808-4E00-B4C4-892CDC6FDE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144EA283-7840-48C6-944B-5B09F7C013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99156992-8FA8-48A2-AD59-F3130D93809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42D76DA3-49B8-448E-BEA5-5D54D6D73C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5435C854-0D11-4D84-8A86-61EF9D4BEE5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0E7EC8A8-8C4A-4417-B54B-BDCD92B03DE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8E5824AF-A234-4EB2-A259-0134A2DD85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B1317969-E861-4AA8-82E2-7B81C44DF7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ECD1C83E-B144-48A1-AE55-9B74BAFE800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81F0D395-E29C-4E59-880C-05235624213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C08C9663-42E7-4AF4-8E65-2965C883F1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72E9EAE7-1437-4CFA-9472-E82294B1BA3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6D87FEE7-CDAD-4EA1-99FB-51C812C6FA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E77A24B1-C13E-4629-95B6-0C9CA9789A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05A74013-F311-47AE-A241-6FE69F67A1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369DE3C5-E02D-4BC0-BFC8-27222A9760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732EF5C4-B890-4B1E-BEF9-98028EE35B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C5CD5715-1914-43D3-A712-00B2120514B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508BA15E-02D2-473F-A37A-48B0431743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13B47EE6-D14F-4927-A336-9C8EB24CB4F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1E475D9D-E009-46E0-9B0B-CF09FEA4D0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0A2B8050-2C52-421D-8660-F14CABA4CF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962F9E81-2062-4EBF-ABE6-32D6B9FFEB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1CEA6952-E4CF-4E7A-B9E7-DEB892FC05C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EF717B13-AA99-473A-B474-8B9F702C07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FFF6DA48-1216-4DFE-89E4-CA1824D29C1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8391E0E4-99D5-42AA-88D1-C6FFF1FD13A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B87E613D-49A3-4D15-B1DD-B5DDFA25B495}"/>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56E823FF-2A6E-46CC-B997-DB43C18D627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83E7BD9C-60D4-4333-8E07-04697B63928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9C369F65-CA1F-457B-AD60-43D499F2DD1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8402ADB6-D436-44AE-A85C-E95722BCDDE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93758BC6-985B-4C21-94E7-93EB39DB526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2330C854-055A-47D4-921F-42D94F8D931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4BBF7091-FDF8-4A20-9427-6325B66AEC1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C5D70A89-814D-4B92-A154-334BE63A3EA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596C2840-310E-4FE3-B330-71874D2DA00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46E9DECB-66F2-4D78-8C8A-95588487A9F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5D7D9DEE-E8C8-40C3-8F77-B71123D7DE3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0D1BD7A2-8AC5-42E9-8E58-D0DED48A9A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88B3D816-EB22-4A8C-90BE-7FE86B8A121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5C12375D-4620-46F9-9289-16E112CACCA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98F3C626-7580-4BAE-8870-434BE115AEE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72C0D4AE-D774-4957-B1FF-31BF2D40AAD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7F1BBA38-B000-4FE9-A0A9-595FB0B6E1E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7BCD42A5-DAC8-4993-A3FC-4EC18D2DE49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8E481A57-F2D3-4A5D-ADC8-C3F983F51D3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46DB5DCD-D269-4533-9856-1D108B9090E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4303065D-7CDF-45F5-AEAC-D9C91ABE6F2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2FCDE904-4DF1-4E60-931D-79CE59037F6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DCC7D46D-B50D-455D-8705-4AC2EC58B7B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6F5022FC-44D8-4424-9D6A-2ACAC10580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A4D2501E-BDDA-4559-BFC6-68269CC1604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BA72AE33-A3C5-4D30-B57D-3074B456106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AC07FC21-88CC-4569-B925-B89F11E2DE9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5E1F099C-CD04-4127-B2FE-57C2B7DE79D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774D038F-7B18-4EAA-BEA4-AEA2699F6C7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65AC1FC5-1E8A-4993-9E7D-42F30C71382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7BDCDFC3-4310-4A33-934B-D728E9059D2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133978A0-0418-4568-A75F-2DAA2166A74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96168B75-D376-4B08-A7AA-34E4586ADAC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0DAB0F09-443D-49CF-AE2C-9CB6E9E3218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1D2BB47B-967A-4838-9B73-E52233BC2BA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14AB87E6-8EDE-4179-BD99-315E863F4E3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EA711E41-2123-4222-BCDE-AAEB7AAA976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58F15EF5-6BBD-43E4-B13A-6AB6856DB19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95283F00-F0EE-45FE-8732-E18B1B729C6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D4C7EE88-3909-4B2C-8B96-41AC94C956B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69FB439D-15C1-43EC-88BF-5BEDFE366F0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DCF4D3EF-99D7-4635-925F-09E4E8CEAEA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F6E4B93B-90FC-4BB7-87F6-B647F0D782C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0EDA7A24-8E43-4032-8B6C-F9C058D6E83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DAFB5F75-A0F2-4254-AD8B-92F78DE79C7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8E971821-0A2F-4E5F-88C2-2470FBC3AB0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C855CC64-56FD-432B-B953-AB8D9840F26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C80C5021-945B-4EBB-A9D0-2DA28259341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E32F0C33-0474-4291-8E1E-94F434A855F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49E3E7FB-614F-45BD-B293-F9B452FB34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A054D6B0-CA17-43B9-9A20-9FF48679D24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40D32ED4-A5FF-4095-A7C9-82D63F08A99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009ADAB8-EB52-4271-AF13-E89BDCC4E73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1D58FDB9-ED39-4D0E-A8F3-EE1C824E0C7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3BC78CF0-8881-411B-A231-6476AEC5B4F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106F88F3-1490-443D-AFBE-FF4F5D10AFD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51B630D4-F150-43F0-9D98-0D8D233EB4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665E17E6-6A39-4D9C-8A04-EB0E259325F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91EFFF17-645D-4EFE-93AB-5A002F4BFFC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278B0258-20E1-4E8C-A266-3DB930EC5F8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3CCC9029-EF61-4ACC-8C97-8F1AE5AB20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C1541B34-4829-43AB-BB5A-5C522D16E7C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8572885E-5CAD-4F67-82AF-F056460AE0B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F22FE13C-2B1E-4DCB-912C-37254C0D3CE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00502C68-EF00-479C-928A-6B4293E4D73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DB96B2EA-587C-46DD-AC66-FA8E96BDF1E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557D6702-75C4-4997-A940-01E2BD9A5E9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C90A2EF1-6662-4B54-843D-C792EF81C06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2F88FA63-DB54-4F75-B603-E8024AAE9DE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8FF99216-2644-488B-808C-0F964AA52E8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804ADD19-020F-41C6-A931-9CD48559E1E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D8E97B70-4745-462A-BC9D-C94BF4F7FEE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7A639CE6-A30B-44AA-B386-734ADF45991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8FDD6C5D-E2A8-4444-A0BE-E316579210A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0FF38F82-6B1E-49F5-AD0C-4473A79E012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F00955A4-5915-4D9E-BE2F-393F51E0B56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38446112-890A-4F68-82CD-98DB1B8E87F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22FF0F81-58DC-44ED-BD19-27E4CA231BF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30DF1DAD-522F-470A-BEC1-E13212A0A41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1A693A6C-16A1-4BAA-BDD8-C5171724A96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79C440DE-2FBF-4A1F-8364-317B1808525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514DBAA1-84E6-4EB0-8C77-F661B8B832F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2E27687A-1C51-40CA-9100-37907076F60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99F10AE6-ED52-4AA8-81CE-67EFFFE7CF7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3FDC556F-CFDF-4F34-8E3B-3C3E5861B6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CFD0F147-2EE2-40F8-A403-B0173C23014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DD5A0D55-F694-4665-B5E2-0D78B944ED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D590162E-E7CA-4841-8CB1-B87EF6E5752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69E8A596-8C78-4274-B7F1-3ECBB766430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04411629-3AE4-4316-B2FF-C608B3CE7AC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4AEF6BB2-FEC7-474B-88A5-B106B4BE93B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45D99ADF-89F5-44F6-91CF-12FE3680E3B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D218CF26-4D96-4D05-9B0B-AAE83BB2751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520A8358-F598-481C-95DF-A504597EE3D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BCE2387E-135D-4E03-A159-275125D7F92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28EDE0F6-F48B-4614-A2D7-29BB54054FD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70C273AD-EE93-4292-9BFC-4EA24481A61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DDFA25AE-522F-48C8-B964-E03861C7D1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C6EA3291-410B-4E19-89BB-0E4F9FC476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C9BB68A8-DA2B-44E0-98E5-075EA6F9622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007686C7-709C-4701-B758-785955E477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3E92BABF-BCDA-4BB0-849E-5B50E37C2B5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C52FB2BF-AE61-4F9A-B9C9-C5BEE35409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057738A2-A483-4D86-B2EC-5364688FEC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899CBCA7-D537-4ED0-87A4-8C9FF5931C4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7CF3411F-BE77-4B48-85C2-CFF07A68056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54918732-9ADA-42BF-A530-6A0E045E56A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A3E2CFE3-0747-449D-AC19-A0A998896B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CA648223-D7F8-4845-A7CF-85FE87FB6F2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42EF2570-B8E3-4815-A939-03918B0B98F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8B2623AA-541C-44E3-8F08-A63A70E8DB2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58FAAA75-EF8D-4922-B93F-EA6DADE90E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7EA2BF54-DA4B-488B-9CCA-BE226D2D84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CDE5BBE5-A915-40C3-AD06-C3EC1E27D01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65AB45A7-DE9C-48F5-9361-618EA27AEB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4EB4A00A-C26A-4AD8-AF71-D395122A0C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C2DD8D7F-7DD6-4C85-BE2E-1E2B8F5B0D9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36487ADA-00C0-444F-BC00-B36F15750F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64C3E000-DF24-476F-BD10-ABB6AD43E6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E0C05464-A232-404A-BF3F-BC5AA7DBB18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029780C8-D72E-4FFD-ABDF-CEDE79BCD6D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12D3E18D-BB2C-497C-A4CD-E9FACDEE9D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2A63B000-2344-439F-8CE7-5393DC17AA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42F2CFFC-A661-4C3A-8764-3AF1B2AF376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CD67EB1C-B44F-43B7-95AE-1B00B0BF3D9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FA2D55E1-E77E-44E8-9D04-5EE44CD7F4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217508B1-A9A9-46BE-AD6A-CDCA04587E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62E9E950-8770-40F9-9006-BDE4A825C50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6C124C10-F555-4D99-85E5-D9EF4311C4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F9F58FFC-F831-48F6-88C8-F21520D66A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77976CF8-9FF6-4674-8E52-21860C6C8F3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237A46B4-CDFB-41AF-A268-C60A7B66ED1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7F2C7B73-6A3E-4C8A-A593-8B52CC4CA93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E54356A1-1A65-4F50-B0E7-0645C99F8C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91E693E3-1507-46AE-89C2-EBE2213169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7F63266C-7FC2-496E-BABE-8564E039A2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6D067285-649A-47FC-8F62-36A33B9ECC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0D2F07B6-B06C-4B74-91AD-CCE08BBE60C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1943F6E6-C5E7-4867-B0FA-730095C9DC5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1B1FCC7D-4B74-4A7F-85C5-C96FCA3A3E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16767481-381D-40B7-9DE2-8D96983BEA5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45E6EB11-296B-43A3-A014-BB1D4878E9D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51A02E4E-504F-4561-9064-64881F08F0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0EA89F4E-ABF2-4FB4-B3A9-B9AB6A3A74C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7B6EEE7D-481C-4A74-9DC7-4C4F52E3D04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CEF50A8C-F801-43DD-ADCB-08F694489D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D7FCC15A-4200-4D5B-BFE4-A201DC5E2E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853B5CDB-EDF3-4EEB-96B4-A18B5C4560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A9FA6825-EDEF-4753-A72B-73089D3A375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3D92C2F7-FBE3-401F-949C-7681C7D43E1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6E2730F6-B194-44E1-B667-2E57420545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8A106AD7-12BE-453E-B788-0BACEFAEBAE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D94137D8-B945-4618-81DD-FEEC754378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68CAAA7F-B70B-410E-A91B-1A238C275A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4ED0D525-8C0A-49F0-A8FA-25528C5055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085DBDB4-B200-43FC-B1EC-ED4A7E525E2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9CDCBD1C-98FC-4C04-BA39-054AFC8BD82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02672A7E-A0A1-4ABA-83E8-A67BE328A34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936356DA-A785-432D-93E3-CC5D0D5185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47669A29-859B-4C23-894F-EAF423F5F4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06BC9740-680C-4F5E-B02B-26B9A89825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B369DEB2-1DE0-4D6A-80EF-BE32919E5B7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1037CD1F-246C-437D-AC4C-C4B19608CC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0BF53665-7205-4609-A9C8-114B4681CF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DEBAD910-2DD3-464B-B7AC-78F9F11627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869CA3F0-6A95-4A53-8DD2-DD1935A0DE5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70841BEF-6DA8-45FB-A241-8566D6B27F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B82FB928-05D5-400D-A6A4-C3ED58924D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C7D16B17-E61E-4F54-8934-D90B5ED1DB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A3D96BBE-54A8-4F1A-93A7-E6DC8A0507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F1D52C99-7EDF-4EF5-A075-BC89ACB8CF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5FDD1365-99BB-4E8B-BE71-6DC6DFCFC11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4ABA9606-5B94-423C-84E4-1BF6B78254B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15FA07B7-A681-44EC-B248-2CD2486B36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BE6257B7-AB55-4E15-BB35-92CF567884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10352ABD-B1E6-44D5-9E1C-AA35DB612E5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5AE4F8A8-F5F9-449D-AC2E-AC93485CF23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84355D2E-4766-4AEE-B809-6CFAA54365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CA7E725A-538E-45C6-81E8-39C92DC816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F8D46B4C-3BEF-4627-BDA2-E2170443E2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53A5A57D-DF73-4348-9A54-0B737A0B8F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2BFA5B8A-2B30-485D-A9A7-1E8FBEE9E3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A194806B-7F2A-4710-9B24-DFAE019CF8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AEC82D34-B58B-4436-AF30-EB5794A9219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B7B6621E-9221-4927-8323-3E527BDB629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8DD4A5B9-E178-4BA5-B5BF-8D5C809A95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02A2961F-F369-4BA6-A19C-3F8E96993C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D5B290FD-665D-4106-967A-25CE48C4C5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48B2BE88-CB26-4D59-A1F2-8724F2C6A74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DB850738-6AD5-4957-A02A-844DD85820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A23382FE-0607-446F-8A07-2524CE0F8DD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D4D2D572-DD7E-4D13-9DF8-CDB126A767D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795C92C7-2E52-4B0E-B7CB-376AD0C809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903B37D3-6429-4C72-B395-C7D0E843C2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0B1B70F3-AEAD-4FDE-9468-F2A5F1ABE21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5E01B775-439F-4194-A649-7DDE5EBF9F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E06CC00B-2160-4579-B9E7-B88D5839191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11EDBEFE-89FF-4D00-8F68-070F6BAA2D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D8878DA8-E87A-49E2-8F5A-AC35624FB7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499A20EB-203B-4FFD-B75F-527EEB45FDE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5C651FE8-41EA-42E3-BFCD-CE380494DAC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CE1E6580-D01B-424E-8E04-F8E7393664F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E7E27FFA-9156-4D36-A9E2-C6543E5E1EB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E3C47A71-03D4-4819-9F78-F11AC3B359A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70D21502-C59C-4CC3-8025-69FA332D56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21682C51-9110-46B8-A583-C1375E71D2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C8B15800-36E3-4A7E-B015-FD8DB5FA8E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03C5B0CC-BC45-4C1C-BE3A-4A68A904978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416C8EC8-1A72-4C58-86E2-CA4AAF443B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BF0AA24E-1F2D-402E-97C5-030E78DB13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21F9FA4F-C0B2-4465-931F-BB297BE9E18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36705ADE-8480-4D08-A937-48BB646A11B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84E84EE1-8912-4EFE-AC7C-797974B6A2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4C94C8B6-A080-4791-AFB3-20CA9907829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E3FB6146-D181-4D4D-98DD-62C07F74FB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38126322-EB3B-416B-AF48-7D18D8563C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3D3F4434-B8D9-4A8C-9E80-2E081C400C0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BCF7C2C0-B86E-4827-B1CF-C769D1E881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6312D502-5B80-45FD-AC51-216ECF405A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35F424E7-C96D-4630-9A5F-56CE0D9B60D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5048D468-E0CB-44C0-B122-2EC8A27DE4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7182F92A-66D7-4CC8-ADE8-7B2F78A7716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35BAF873-DD87-4093-8DE6-D7802089BB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F37499E8-E8D7-418E-9E59-19CDBEF1AED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647431D0-D5A9-4EC3-845C-C3674A841BE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8FEC843A-4B78-442E-B5AA-D78CB7396E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94EBE9E5-536F-4305-BE1A-0E07ADCDA5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6691BAC4-16B7-4E47-AA75-C15AD1F6B3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5C8B9BA4-57A5-4025-8995-717799BDCC5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CE860230-DBC8-46B8-9455-BFC2B7B9E16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D64E5D69-2579-4DB1-A93B-B0DAF04A17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1AAB65F3-E447-44A1-A24E-581172226E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A376EED8-E145-49D2-91BE-354A7D691C8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9674AC1E-E27D-4738-AD3C-5C6491F3F55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BDDE5466-256F-4D2A-A0D9-1B6CC26E0C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9DD8A731-F14D-4DA6-8F97-C1A215445DF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3D3E7BED-1952-4EF8-8165-E90BD51379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97442F46-E847-446A-9E85-EE27C35719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867C2D03-2840-458D-8DC2-21E2932E9D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1FD34373-1DE0-4FCA-8FB4-18B539BD68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26534EED-BC3C-4980-8D50-6ADACE9DD23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5257DBBC-68CF-46CA-B921-1F886A8B47F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4EB9B9D1-75BC-450A-9302-CD30ADFE48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1CB158A6-5113-435E-9435-A3352D0B1B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B350F879-9555-4B4E-BE4E-CE0D699A62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0FC6F006-EFC3-4945-A3F2-DEBADDC144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FEC560F7-08EA-4424-9EF2-6DE562C825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6CF1D8F9-9CF1-4767-A453-1A28A5406B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0F57A8DA-7AD6-40AA-A4F3-081DF3C039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90026C65-9074-414A-85B0-B0DFF64FBA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266CA5AC-D66D-43C0-BF08-0DD8681B65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8FABBE66-F740-4E76-97C7-B6840B31E1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B53217CC-004E-4CD1-9601-12DFC43AA0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47626F4A-864E-4FDA-81C5-C90593C962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63CD615B-D9DF-4FFB-A5E9-3D9A3503F9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493A3EF5-CF1B-4DC6-A1CB-83BCECD581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1BBC39E7-283C-4C5B-9935-9917623E7D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C9A1A93A-0C09-4D08-9E73-729A1C1CE8C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C6EA7202-76A9-49AA-914D-87223B8343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4B46782A-1DCE-409F-B1F7-E201272712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3251C791-15BD-4266-A435-4215E808D2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DA542FAD-FF51-40A3-BF3F-E2FDD47E58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A209712D-44DD-45D8-8A8E-ADAF892E3F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E14DFC52-BFA7-4B63-8068-E25465C5720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D1C3675D-5F10-4AD8-8C5D-78C6176CFA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403DB30D-E47B-46BA-9391-676851246BA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77924C63-482E-40B4-A864-925A2D3171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E029E696-4D8D-4FE1-B622-DF5796CDDC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F5F50716-7BCC-47FD-9494-69362D6E863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5C9817C6-7881-4A48-B82D-3D0D6E0EB47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26E3707B-DADF-4D61-BB23-E2BC4278DAC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5118EC3B-3FAE-4E25-9DF6-46491C30E1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49798371-0DCB-467B-82BB-7F6ED3B385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1888ECC1-72AB-49F0-8FA1-26EC32BFFD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9B423A70-ECF6-40D7-9C9A-AFD01377DA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28F9FEA0-8E91-4D35-B71E-01CA2D2014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2B1DB402-80AB-4089-BABB-BDB72245BF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A88D091E-C333-4373-A341-6BA6F225B0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E1EA7689-AC0C-4EA2-A6E3-66204BA3A4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AF3359D7-A5F7-4136-B98A-5440E5C2AD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EF860972-C15D-4EDC-91FE-3269EB72431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F05CE217-D3CB-4A40-8014-E77542D5495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E68DD882-26FC-414C-BF32-1B0507425EB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7AD40562-2F7A-4044-9A17-69B4432F7F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B2D048B3-CC09-4651-B1BF-0A7934A1572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8BD440A8-813F-4B4B-93DB-8AFF0AA6218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A4ABC97A-2688-4506-AA1B-F99E5FFE445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77E372B5-9239-44B4-B19F-EBF5FC91766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7E2F16DE-B491-4446-981E-D4B24D55E2BE}"/>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983F847E-4C99-4279-A237-86FCE4C4AC3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29D52A2F-8204-4859-83DE-2972D523E30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766217D9-0457-4135-9D90-90BADE93EAB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24994471-B959-468D-BA4F-E54333D5ED0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080A2E2F-F65D-4542-9C02-A3E67ED6C2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4E3F5665-4E34-4FAB-9705-064DE96C37B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FB619EF0-DD59-43B5-9EB5-650203629B9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E87D8DFA-339B-45D3-A061-42B17A673AF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2CA6872C-55BC-4DD6-AB84-A1B0BC7C68A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16D5751C-E503-43F7-82A0-E209862F5E2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5BE7E920-69D1-471C-991F-AA719167CA5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383648DE-F36A-4D94-A78B-3DAAB8FD040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536DFB2E-9FE5-4A70-8F4A-EF26FCEA558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DB3258C1-5FCD-4EE5-8D9F-8CABA22C165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7B3E5573-958E-4B7B-BC86-FAD30C0E998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1DCC0693-75FC-4A05-94B2-626AF4A71E4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B0D21098-3FF0-422F-9FE8-E210FD99F91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DDA0248C-8F1B-4D60-B1E8-3583FB5B3BA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11B0570B-AFC9-46C6-B6E1-04858F1CE10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9CEEDC9B-65EC-4CD1-9742-C364BF978D6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753CDB2D-DCF2-49D7-9903-F7B67CBB47E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DD10DB73-E522-4D23-B109-B69DF45A5D3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C7299FD2-64D5-4A35-87D3-471E27D6ED1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C9EA917F-785D-4E03-99F9-8A672C1EB89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179E0E5A-65A8-46C8-9297-43ED4035EBD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A6AB92EE-8EFF-48F6-9616-B3FDB238E1F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1A947F56-B1BD-4B86-A1EE-0239884C4AD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B004F35B-2EBB-4EB2-9EC9-FA2992159C9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7FDD87C2-1053-48A6-B2D1-2B50BF2A35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E4D07D7E-A9A4-41FE-9512-5A31C53DC13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01C53088-9C86-4198-85E5-563F9377337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F49D1566-4237-47E9-96D8-1A84A05612B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6B87BD96-D5B7-4CC8-ABCC-EF38843C6F0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0B143474-29B0-4CF5-870A-75BDE057AE7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07D1AC57-6CD0-4A81-BACE-53F9189ABD4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65D62D9E-8354-472E-933C-F3846C22CF2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53E60BBE-DBF9-46EA-A807-A01F1A2EADA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8004D6D3-8C7B-43F8-BDE4-5F11473DE8A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C7AC9844-FEAA-4FB5-8EE8-CD8958E1C2D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D3057D83-31C6-4F6D-BE67-B2A295AB84A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8DC08521-E568-4F70-9E1E-D551FEF615D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3CDB3470-61C7-4D5D-868F-DAF19CF8AD0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1D5972B8-18E7-4C56-9538-DE284D88070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321A87D5-0182-45CF-8C36-9FB3D409298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A8EBBBCB-4E5D-45CA-B553-25BD0D2FC9B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2C93963C-39E0-4A61-AABA-F73697D1D86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1D46E6E2-AFB5-4458-A3F8-E839A859A9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B45FE9C2-73DD-451D-A439-821CD2307C9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8F0A1925-4219-4777-8EA5-CB7AA9A53A4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5E52B8F3-B169-4B48-8099-B75CDD5FD7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6FDE06FF-456B-4DFA-B0B2-0B2C9802C0F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21D98F1A-C26D-4FC0-93D6-9269B1BED03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9CA22747-D6A9-4931-9363-1364F670A3A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16FE9389-5531-48DB-BC87-BB1115FC2B0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052D0A80-C01D-4AFA-B7C1-5EBC813C9E7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FED4CB8F-3531-4316-8F46-27271495415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11440F97-2E13-42E9-8FAC-D1B6FD4BADD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C98A538A-9BBB-45EB-8537-D4B6A94679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0AFDA66B-C612-4F5E-97C2-00BEA85C1EA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90ADF9B1-C909-4F85-8C48-D756FD9A338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8895C6EE-6139-4FC8-A2F7-9051481D154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76EB75C9-1595-4BE9-8139-E9742B82D8F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38B038C5-733B-4B69-ABB1-6718CB7503C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2D841FC8-BFAC-4D99-B2AB-02FAA7644F8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51AC7B9A-9F7F-4837-A264-A4963735C6B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313FE96C-5D3E-4E76-8A6F-7DBBE280664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3290A6CD-816E-40FB-9BDD-0F148620175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E210A56C-0EB2-44C0-A43C-8DFECC47778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171C1C13-BBEE-493C-865B-22CC287AB65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E0C1ED13-7328-4CAC-9C67-A2351BF9A7F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37621B7B-1380-497C-953F-228AFC1AE25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92A040EE-680B-4BFD-B389-C42CC9267A0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D0FD691E-AE58-4EA2-B70C-8C714484E82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69033662-9B14-4080-8375-3ADDE2C9988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C728585C-E17A-41AB-B6F1-4B4E729A1CB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78182768-A37F-450C-B1FE-F5CF2D8D3BB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B6E88BB3-DB3A-43E0-9DDE-C6EF4A45D8C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5D602F36-150B-47D6-9A96-EA79F459C85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4994B59F-8A0D-4FD7-8E4A-BB1BF9D51A3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AC0E2E20-7F4C-4F76-A604-D96E6C8EEE3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C3967369-B6EA-4EF3-8F44-0577B5F6F4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B0395602-A742-4473-A396-285CC739FBB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1AA0C0DB-C9A2-40B4-8A0B-1E54DA05D37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A01DA6AA-0664-4105-B4EA-1731F494DDA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6F1DE8A1-E265-4FB3-B04C-41FB40C8EA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BC8280E5-CEFA-4323-8466-8B5931DD50C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DB660448-1988-4C3A-8E68-CDFF61A8388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79BA77F8-8434-4F6F-AEFD-4314916F1E9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0590805F-701C-49E0-A049-DF2B645D644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E8A3A0D5-9BF8-48F3-A50F-96D9B51E239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F750FE6D-F482-4230-9D14-80D19B505C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FEFAF476-ADEB-40B5-BE5E-5576BE8FC62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60F40431-970B-4058-8C04-CF0E56DA422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DC238167-F6BF-456C-97CB-47B68E7A330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8F9ED0A6-C935-4B5C-9F9F-CADD2CA8E7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583C8F45-31E2-4572-9831-0EA9C82107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009AB8E0-313E-4659-8775-D7072BA2DF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B70AE1EB-F1C3-4BDD-B370-EBF7CA6567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4FC69F8E-9E5A-4724-B418-2972BA16A6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235C2D48-6BF5-42DC-BDB9-BB570D33D6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6D8A5F0C-7368-4B93-A275-C0F0520A54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B745DBD9-2691-45DD-9B92-2C0607633E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34023476-C1FE-410D-A4A2-31E1E2C896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624537B1-EFCC-4D3A-B336-3315ADAC35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705DEE29-FF67-4C33-82FD-298AB558562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7D80CFD2-AC42-498F-9EED-A85F49A417C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019A59D2-6B9B-4AB6-8EC6-76960D36A72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783AECF1-FA52-4C0D-93E6-35E5300A24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374DDE7B-A855-4703-88CE-DB457A30203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47ACD8D8-969D-4A2F-A40D-C4B3AB6642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2BC69318-5864-4329-8AD3-29D2FF42FA6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F09769A1-C148-4D03-89DD-EFBC5B6A6D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812AF980-AA81-4ECB-9AE5-670BB120EC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9D40128A-0D1C-4F10-A926-5140E251C4B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549F9DD6-0895-4590-9A26-D0378ABEF90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FADFC45B-0DBA-4214-99FF-520FAF1E66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84E695DD-72CF-4D41-B39D-A151A4FAA25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A99C2FAF-AD89-4F3A-934C-DF3FA3634C9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D379AF5B-E74E-4F8C-9B6A-18631457C1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A5C4A49F-D670-41D0-87B3-195B6B01A7A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72CB9CD4-CE22-40B9-8F71-4CF2126C38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BBA94D3E-2B3A-42D1-BC24-3C11980E9D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CB3AC066-A816-4B95-9BEF-86FA52C3219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459AF537-BA8A-4A75-934F-6EA54E3630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F6EBBCC3-49BC-4E05-8990-1509BA0915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C9F4E188-A574-4DB4-B6C2-5206ED7950D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4ABBE1A9-CA7B-49E1-A881-AE16603A0B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690769B7-7B02-4EEF-A730-D0DAB32A501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C67EEC79-C06A-4F53-9192-CC23B6061BC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29817AE4-720E-4B2F-B499-EF83CE1AC39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6A1C707C-BDBD-4B37-85F9-F9022ABAE74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402651D8-DE51-49B1-9D2C-C50C7019754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E3001BEF-B453-4418-9EFD-47246BE4561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A93D66FA-A1CA-4F5E-80B9-952F4DC4B06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19688CF1-DE38-4064-85E0-2D44996E407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1A67D2D6-6EF6-4F12-AB17-8F9BFADE57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2EE775C1-6232-46E3-AA5C-FD08B5FDFF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5617BEA4-A653-4C26-A50F-DEB2324809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CE728F64-8F52-4F58-815E-CAFD80B7A3F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19691D84-1F8C-4E11-9549-FEA3CB12245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68C1E1FB-D490-4622-8ED7-271E6CA4B3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5420A87F-4E8A-41EF-AA3C-A8DED5BA482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77725B07-8480-4AF2-AD67-B66B1CF75C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B04892E6-B975-42F0-830B-1641306791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A80301F1-5178-4236-9F05-21DE44371F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E0953337-9095-4136-A4BC-B9C5B85A7A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0C2DC228-8197-463E-A889-B3D1D5BEF9C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DD6FAF72-7447-4E51-929F-3B88699E132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C3C26FC1-8754-41E6-BFFF-14CD454185B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FDECAED3-2997-45F5-AE30-346A251590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E5C9239F-B833-424B-B23A-5B5A791C7D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0C1AF7E4-C681-4876-9AF6-EADCE68ED5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F647F388-5304-410B-A526-1F1F3488574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556D9683-8754-4DCC-AE0C-93DF22FC711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25D2D893-614C-46C6-84C3-84A2E293D8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91EFB763-162D-4795-9423-CB6648CE6F6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44751F42-64FB-40B6-987E-5C7438E3A9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DD05D83D-5717-4DBA-95C4-9C0B4AC0EF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E565A266-FB34-4E21-A185-CC16D5F338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35030AA4-CE4D-47E4-9786-329193C807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53AC2FF1-6E2B-44DA-A8C5-9006829CE4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B2615832-1BD6-4073-89C5-85A237AA172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1BA01206-C58F-4082-B84E-153E9DDEF71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72DEC23F-102A-4BD5-B8A9-2A7BDA440AF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20BABFD5-E75C-4DD4-9D6D-AEF24E5778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F8F48A3A-A9B8-418B-A8D5-C041251E3B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675DC8EC-F9A0-4C45-B9E5-E84AC2827C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39EC4065-B11F-4190-BD7D-E70188565C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278170C5-4444-4180-A19E-E3AA683468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EFADD002-D34E-404B-8EA8-06CEBA5BFF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584C93D7-367B-4F84-95A3-677098E834F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485D62D8-2674-4DD2-9FC2-BDD8AF3CE1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D5E505F3-F7C0-4CB8-943E-D8D57F4C5F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1F99671B-2CB9-4156-99B0-0DCD191C862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81835160-7292-4729-9A37-133FFB0E699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3336A1E2-1233-45C6-AB09-7038F0F4615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D7EB5A9D-8CE9-4A48-ACF4-55121D79E1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4EF9505E-03C3-434B-87D3-CE975D16A7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AD7BEB73-0816-4691-97B8-71E51E3D851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4B0B7404-3BDF-47B2-B83D-F520F68942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3C126D5A-4BD4-405A-A2D6-82CEBEDD48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59D8A7EC-8CBB-468B-8A93-00E54A25458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678969F4-10B2-4D9A-B798-A3E3C7CAD1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5D3E9463-7A53-42CA-9C6C-8573DD74D8D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D25BB742-D23A-44E2-9339-EFFC8630E2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2F02E296-1478-4F20-A9D3-0567E11460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F0BFD221-2E6A-4ADA-B235-1885A92E94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9E31F799-A72E-4271-8858-80BBD25AC1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C75C8EF7-9966-4376-A86A-D6278A7C857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B5182BD5-F05F-4A78-83A6-E224F16F4C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B610C6E0-F7B4-48F4-9C9B-B929D3D3A4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F34327EC-DA9D-46DA-BCBC-8B4D10C7582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B6848B20-DCCF-4503-B0FF-365F223E53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E065082B-61F0-4FC9-827F-BE936893E3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6CBD899B-2509-49FE-B0E7-00CBB87177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1557839F-B63F-4BA1-8BF6-4B6C0C35DF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F4A64C54-C415-45F4-8445-823668B944A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11A2F6D4-ED42-401F-B59A-5349CAA0A0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D68D7001-85F7-4505-BC13-45672AF1AE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14EA453C-AA8D-48C1-9440-2E804A49C47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F2CD18B8-DC86-4C1F-95C0-B4734496DE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8BB4C2E6-6494-4261-B4FF-BD8F32E238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7F81D755-92B6-4FD4-8971-F801DA2C8F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7CFC4F7E-42E0-4958-8193-7E636A7C9F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91D64F9E-CB14-4360-A47A-BA840C3E90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CACD556F-3D1C-49D8-A568-069FC4F741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FB8484F0-76DD-4BED-A5B5-60D8834D06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9083411C-B127-48AF-9673-374F78C6409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5B280F1E-2CEE-4FA7-9A40-B40A110666C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BFED8F6D-FB2D-4F18-BBEC-7305B9B68B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EFE02ABD-F720-42A3-ABB0-54BD872FE5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FBBE2848-871C-4221-917D-969A234945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863D6561-4C53-494E-BA70-3638008C23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DC8718D2-1244-4DE6-BC34-B5552BE78B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DF7900B2-8402-42B7-80A0-0A9995C9B9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A0E65BA4-5575-45B7-88F0-85E5621F41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F3127D60-C566-4713-9F10-38913A7B1B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B86F23E8-97BC-4084-B4BA-D0F7653912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75F995BB-0645-497D-B1CB-7CBEE31F8F4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FD1207FB-5632-4A49-8821-A63053CAF8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9670006F-CFA7-447A-9BBE-FF708C414AE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DF43E317-2532-4AF8-9F5A-EEB9A9AA35E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BBA91C50-B45B-4DBE-A0F0-F8844F0FAAF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2C427857-462D-4FFE-A9FD-A389F3BBAF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7C371ABD-3841-4F83-8375-E87BEB9F0AE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80EF40C0-EFB5-4EC7-8131-C3FE3C1937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42BE8933-D8BF-463C-BD9C-12FB7A5742C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6E4E678E-AE35-4D3C-A9A6-06CFF9B1FEE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9C6D58CA-3627-44D8-9036-767658C821C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07E6678D-8EA3-40AC-9E1E-74DE585B7F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F88EE83B-F642-4A35-843C-955D627F67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4154A56E-FFEA-4070-BA63-8B121920CCB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EFCCE10E-937E-4A41-994B-33828B4C4A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6F7CE093-49A9-4C00-AA3F-4DCBAAE4EC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43145F8C-EADE-4980-8B19-B5806570D1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84BB5DC2-5BDA-4C5D-951D-33A9C7E4D7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3FBE4A8B-A35D-4E25-9791-C8E5BBA86A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C77D001A-0AA5-44CB-A571-1E3B5BCB51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B9E5DC1F-3026-4887-B0F3-738BEB38AB2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6018CDB6-5FC7-47A2-909D-3EE1CAD0D92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26ACB9AD-2E7B-4191-88C7-83829CD4E5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DF29AB31-722C-48BA-B287-26D05F288C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85B70E34-6861-43AF-8526-AA76B3E914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6B1C08AD-AE26-4B09-9C9B-4752EB374B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AC23DA4A-D50C-4A3C-B5B6-78C13DF0930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473F100D-4030-4521-95C6-12AA5C3ECC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B3D45071-AB42-4250-97D1-95305ECEF7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79D7B62B-D336-4203-A6F5-09E9FE4939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F9DDCE1B-0893-4375-9FFC-58CA017F98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33AC5AA3-FEB7-49BF-AEE5-419D1732CE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6924C9BA-ED9D-4FB4-BD1B-14DB636838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85522951-1D5B-4D34-8431-0B57A1898F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AC717A34-3381-400E-AFF8-F91B2D98D8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151BB563-FF06-4511-BCA0-92F70EAA8ED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2CDDD37F-8CD8-4D6B-B74F-2BA7411FABF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1E211184-02DD-4B39-AEDA-3AAB6555BAF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007D7BD5-538D-457D-837B-EB28DECC3D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8DF9CD7E-21EC-419C-92EE-6EFE73A240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14387CDE-9F9D-4973-A6FB-F878D8D732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6A656265-60B3-4AEA-8E20-E5631F66D4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13B80509-E40F-499A-BB89-BE77320048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B038A1E9-29EC-4356-A85A-79546FBC47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E4E108D8-2371-40FC-B478-6336790A24C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CBE6ED3E-4874-4D5C-A5C5-8637A2EFD9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42ED6B1F-C069-4E47-85D8-794CFC8B76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5955B4D8-4EBB-4B45-9754-023E436552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DEE6E3F1-40DC-4E89-BC1F-E2E59D50D1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302C0F26-5651-452B-AC78-0F6CC7F3893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7EF32315-55A7-4C64-987E-C040AB6768B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AE2DCBF9-3331-48EB-89D7-DCA8943B26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5F0ED48E-4C84-42F4-AECF-6D46AF31616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296E3008-AB53-4CF3-A4E4-6B19E53A59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E9344AE4-B787-4FE7-8382-A7D316FFFC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8C6B6C28-B196-4E3A-AC3F-22EA4923BA1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A961EE33-D66B-4364-B761-B5D542DD28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10F2B129-42E4-47BE-9E63-33F09E9680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2248C109-240B-41A9-88E9-239A3F9E0A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B242D7CD-FDE9-4418-9432-7CA9B63143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36E20F07-040C-48BA-8137-81F0D592F2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106A8395-23B5-40E4-83F3-C18BCE242B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CAFE4BAC-D39C-4FD1-881B-E1A720879FF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2313B76F-3591-4C69-9E9C-BE7F95F6650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0B7B634C-48E1-4569-8058-B5D775C1E9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A384C1D4-6AEC-4F96-A2C4-DEE831DEC3A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84F2A013-6F8D-45EA-B933-CEF3230210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ADDD7CDF-0C8C-4BF0-9B48-A991E4B2805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86A02446-0499-45C4-B8E3-6C428B2071C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93B21B65-BBF4-4A3D-9959-C6063A6143E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36CA001E-6B30-4B58-B3C3-B194D394073D}"/>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E3313AC4-60DD-4EDE-8529-A858FC8E964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58F11FE4-2484-4584-86F1-C10206329D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EF10261C-2FAC-4B77-895B-B38ACF05E11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9B1110B7-B1E1-48E9-BA16-B0D0007874B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46396087-03E4-480F-A909-EAA4B33D588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9DBF1EA4-2772-4791-896E-E1406486C0D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ACDE72E6-C32D-44C2-9A32-F1078D2FAA9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6A871EC4-F347-4570-80EA-21CE97D4461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6AD03B13-2790-40FA-8852-9168D542474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A0FF631E-ACCE-4DDF-A878-B6CF9E7D56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50439256-0745-46B8-85C2-02912D55B42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C3D7C706-EE9F-4517-999D-8B3E804384B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92E049B8-41DB-41FA-9F4D-5C2C843F3DF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1F97F1C8-9D0A-4DD4-BA2B-3BA3816B629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0DF1C89B-21E7-44FF-8B35-B90CF91C78E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C4E190E5-BC5F-40CF-8F9A-EF89040F167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40410C7C-FFF8-4E53-84FC-20C6075BDD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77C24F9D-904E-4AA5-915F-0C40363791B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FADEC79C-887A-4611-B7B4-1B846D5BBFB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C82D2007-955C-4865-B126-10E8A6F97C2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9CE12B7D-F60E-4D3B-80C9-89DA6974516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C9241FF2-8B49-471F-8C68-753C3B83D67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AFD38E8B-1BDC-47A0-A5AA-C9BC4AA9BAE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4CE3F153-4C6B-4E5E-A52B-5AAC24B4F3A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3CA61938-D03F-4646-841C-83A46DE7BA1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6A8D14E1-400D-49DC-87DA-76A177F550F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C1439003-9E93-4C3F-A419-9B77BC4B76F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797A7CDD-80E4-4880-9419-4BB1D92B389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D00DCB29-09D1-42B7-BDBB-91D196315FB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DBCC138B-A0B8-42CC-8075-11ACDFD7D5E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D8649B98-EEF0-4872-8791-3D467D7AA42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15105038-0646-4671-AF59-402A5913503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18F363BE-3C33-482D-9489-234F5367917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52114B82-056D-4346-8884-CA4653E5717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65598835-3B51-4711-80ED-80615A7370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26C48BCA-A66D-44AB-AB33-AC4290D176B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A42F4095-290A-4649-8EDC-28F798ECC8C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FF3AB712-0204-47F7-9E0E-485B4678B2A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7D9DFD93-646A-4901-AD09-D262D9E3F01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BEC9AD7B-7630-49F3-AAD3-8A465D32A77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66D415E4-B2D1-4048-8659-1163CEAF6F1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6FBF7C34-721B-4F88-BE9A-31409988459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66F46751-F713-470A-8743-CFEDCC71F6F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79BB34AE-12C3-42FA-93F0-A8E62676560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CD747E1C-B48F-4F5B-A23F-FE697AA14CB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258B5F04-CB69-43D2-BB3A-BBB92645A3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2578C032-841D-4236-8E34-988B858596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22C1759F-D550-47D7-8BF3-C92710E9274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159A923A-8E54-4D99-94C6-B8586BFB0C6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7BEEA141-6ECB-411B-A355-0A315579A0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862088B9-F42B-4BB0-BDE9-0F8344B0427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4DDC9D79-828A-41E7-BB03-4D456D32C2C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BDC61573-FAA6-4998-9A32-6319DF447D6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EBF5D26F-3E21-4417-9F70-B9B3E7E0228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14C126B3-A58F-4F85-BB6D-C165CF5E789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2E5E9F7C-3602-4D9A-AC3C-58A21E084B6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0897246B-D089-4982-9B67-C3655623D0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5431B85F-7A20-42F1-AD90-96D725A01D2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5863F1E2-2A03-4378-8400-3A859B8E19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A01ACB96-2862-4D85-A104-30EBBA9DCAD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F1855A03-0CB3-46C5-B7E5-C11C230BE96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44F1AFC5-C7A3-481B-B9E3-1A5AF61D285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8945427E-0AAE-459C-8D3C-AEE0B4EFCC7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A6243805-F0F8-44B0-B9C0-AEB862A46D7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7EB84D4F-652C-428D-9E90-3D5648A405D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25030BA3-CFCC-4363-A8E4-BE4E32ADEE9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55971D54-E394-4373-A5DA-8A3A2591D45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C0D7D778-91EA-4029-AE0F-304A79AC74B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FD94FF3E-9F7F-4677-BCBE-34C0DBD315E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82E758FA-9E46-4A0B-BC8E-411C4B972D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BAC37522-106D-470F-BED6-07A2C70B08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7919B5D7-9F78-4D35-A0BF-2C3E178BD37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10A7BE65-0BCA-453F-8548-8F0A80E01A0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3667B9AD-2FF8-4D2D-9ABC-9F5785DF388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C1FA6B8A-B75A-4614-994E-FEB7012AA9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D1B7D0D4-EE48-426B-B1A5-4271479E87C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E2E66699-97CD-4926-AE33-F60609068F6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75546975-3459-42A6-9508-471A596541D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71074DAA-8011-4734-A0C1-4A0AED33B6C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B598A8A5-4B26-4B99-A1AB-43658E229A2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F53FF6D9-B2BA-493C-AD13-C38E14B5CDD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B8A4DC5E-6A66-42A2-BC79-D8428FBF633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E01C755F-9C88-49B4-BACF-9C44A298034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C791EF03-4246-493C-9319-729DB0B273B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48F7DE4D-638C-41C2-B2F7-F92D824C5E7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FEBC0CB8-F22A-4FD9-AF50-A46EA8CAAC2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79B3B647-7B3B-48BC-A6D8-E8C2182A23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4D534339-19B7-4B13-B6C3-2A1028D476A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C0EDDAD2-72B5-4E74-B17F-4D6AB0F9A5F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09DE44F2-812D-490E-B248-83BD9710260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32512209-1BFF-4A2C-A6E4-5DF8C63BD86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E75AB13C-5157-43F3-BD1B-701F7D91216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2C8E4292-1511-4D3F-A6E8-62189C7F846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00361D11-29F2-43AA-AC51-A4E9F90254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5590046D-F083-4764-AB4F-37687BC3894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FBE5D16A-C4C5-4548-AB0D-DD87EC1F713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3FC8F34E-107F-4253-8D01-C3FEED8376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739002BD-6CDA-483F-BC6B-42F3FDD1A1A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0361FC98-EB41-4578-9C35-7D6AFAC488D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8E5BF3A8-D1D8-4CD6-9B42-345B30F7A3C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E93E714D-BD74-4056-81CD-312FE1E5D98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73FDEB58-78E4-4310-B26D-8ABF49CB7E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211A42AC-82B7-4DF0-8DCA-33E6702B27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51237F02-E5B3-4EF5-8E8F-DD87DE96B7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DF8B9237-9378-4CF0-AF11-7941A06C41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E1E8397D-FD47-492D-8818-14FCCF7717A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A46300BF-A6D0-4DB5-A377-E85F18CB61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5BA49F0B-FC14-4FB2-B983-7037F28CA6E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9681749E-97E9-48C4-8D7A-BEF79715246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B0CA984D-67C2-42CE-A0A0-A419F479DEA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169C5458-4E01-4D0F-87A1-CEBE01DFCA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83B5A858-CAF7-42B4-BF98-FE45257385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7126ED8D-8B3C-4C7A-820D-89EE660C7E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6FA0C1F8-5A83-4AA2-92A2-E9F669E136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9AE4888C-537B-4932-A8B2-B49B3059F6B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8C83C307-0807-4E86-AF02-4C6C033A908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7EAC7D9E-46C1-4A84-B5B2-4C4EACF422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5A7C777D-8AC5-49FD-A3EC-52C1401020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7DDB0259-1D62-4943-AB3D-BC7CE0F3FB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6B48D361-7E2D-453C-BF12-1647F976503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230777E5-5869-44A0-9146-F9931864F1F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655DD510-B82A-4249-BAD2-2B5DF93F710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C5FD1EF1-A362-4397-A421-8276FD57F8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0CFFAB3A-D31C-4662-B52F-CA130D9B0D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60A450D0-B494-4854-B02D-41F38ADF0B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40C854DC-6CE6-438A-9B3F-DD66A9BB71D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AF7A5182-D5A7-4938-9764-66593E35446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C51E4ED1-2420-4D28-9E59-5AFC9B53F5B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1F4D4084-B811-4388-9CA4-66895B217D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58F3859F-E703-479C-A22F-EC46B6D509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51E75116-4AB8-453B-9058-59CB457A05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66BA1601-1B27-483B-A8C7-37F118AF96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30EA4059-63B2-415C-A63A-1624F565F1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0097735D-225E-4F44-8E1C-4445F2648F8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F2D99FC3-DC44-486B-B702-39BF4C22A4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1B9457ED-1061-4286-8580-AFB2FF5E0B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CA1CAC79-7BB6-4B81-9B35-6E7BF75D4B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283B2824-C27B-4F07-B85C-818003B58E1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657B0BA2-17CB-401A-A60A-25A44C408F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E0F1D90E-727C-41EA-B99D-192A331171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0173B49D-19E8-41AF-BA5C-281DE0E2DBB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5E560B0F-BB52-4604-BB1B-3128432B666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4C775D84-E241-4D3C-A5E0-99BE675CDE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53FE5E42-403B-44BB-B8D3-E5ABE8AD852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A321A594-40A3-4B25-A1DB-49D1422D882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0D008949-15CB-4CAA-B35E-4C46A479CA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C2F9C170-BDFF-4FF4-B41F-0A50B79E99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69F67330-469D-4511-8128-64F64E19A08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CDA3C182-DE92-4638-9F7A-1AED81F23E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57BAAB42-D700-4900-8B1A-00983F52CA7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2510AAE2-EF45-47FD-86E4-F5249902E4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4BA9F8A4-4501-446C-A0A6-1B083058E4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53D47C69-482A-40AE-B6C5-C2E83E1362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EA1D511C-F558-4560-B08A-0BB0EF1E304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5329AA45-BCF8-4BCC-B775-C76D60A86B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BDFEA1E6-FC11-4488-9C57-1637C0B1881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76D80055-A8F0-43B0-9EE5-1C29CFC7A4D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13E1E328-864B-4159-9C69-3A2F84BDF2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F0570655-733C-4E23-8112-8ABCCD86D1C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1BE30A6E-5C5B-4A71-9F06-25244675F6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674F689B-CBA7-451F-BEDD-FAD3B8C7F5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A18D3092-CE7A-49F9-87B0-2D1060FB0F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A33A7465-5605-4453-9842-5BF6AAD2778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EDF4ABF6-AD61-409B-9A4D-2FB3FF944F9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41B775D1-93A8-4407-B570-9640385E5E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F0D90DE3-1600-48BA-95B5-9CA9C17EF50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12E86BE8-5505-4623-8F47-B44078B16D0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767F7BF5-9AC3-4E99-8330-FC33B239CF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8AFA9906-1680-486F-9061-62E6148CB9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95ED7D3F-EC7F-45C6-BCB2-C8DB95786E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D43C5FCE-B068-4DDB-85D7-8F20EEDC9A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D87AB304-5388-4385-93FE-BA3A607C17B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D1088475-1916-4BAC-931F-21FA3A3A9D3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F9362F7F-60BE-439F-8E83-503FB01507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644867C4-9236-4DA0-9C96-EEB1348AC2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CBB6FF37-7B1F-4572-AD0A-37A9A49D46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E5FBDEA6-1604-498D-8DCE-7900D227E50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276C5DA8-6DE6-4FFE-8F03-382DA6EFB4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555847CC-3042-445C-8876-04235287B44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7E6BEA27-C098-462C-8C09-3A54DF94B8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1EC023FE-94CE-4817-A8DE-7DC247268EF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0254B92C-4E31-4096-BD23-D4BC93D9067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396727A9-1263-405B-9869-6174424597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25538C01-6DF6-400B-BFB6-76F016E85DB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999B2103-4E52-4E1F-A078-EC3B0AC2B7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00C5C68F-EE49-47C4-86E3-8D87E26A73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2CD4161F-FA47-4347-BEC9-FAE479AFF2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BDF04A7E-0342-42C9-8ED3-9CB0AC1A6A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EB10A48A-E69A-43E2-9B3C-DD6EC85D4F1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2C4F741F-B080-4833-A0DD-A4244F8AB2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FF82EF45-0D67-4A12-AB48-22994823F2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3C712FB1-F459-42D2-84C9-F42E5746E95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4B41EBBD-2E6B-4833-A6CA-6EE224CA24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FC29A01B-7DAC-4A51-8A22-EFD831F52C6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B7ECB0D5-A712-4D5A-A1D3-7D107C2F689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971E74C7-0565-46AF-8B5B-5ACA744670D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3B5AF885-AB6E-4EEE-A90C-3095005DCE9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33AE7209-B798-4B82-BF80-EE53D4EEC35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F75230A9-4415-44B2-85DE-DD90393384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C16FFEDB-62CF-4221-8CB2-7004E46647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F4C7B3D5-5702-45FC-B7E8-F1BC6E6FA08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F13CAAEF-439E-4C9A-A560-38DA57652D7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565C91D7-7302-4993-8EB1-76FC1DAD72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DA3C4C2B-773B-4BCE-B239-6BD87A35D47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563B704B-C183-466E-BDBD-AA4989ADE0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F99D7AF6-4186-4397-BFC2-26E9AB1653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5D5E7325-6A3D-4247-B8DE-B3329EAC8F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2AB74936-698D-4837-9CE7-C0B37A0596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4BC4BAB9-15F2-4C5E-A309-ADE4268A23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8B9D082E-A185-429C-9234-4919116A24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7A74EE53-1F65-442D-87ED-1F7AAE1B6A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F8BEE8EF-3E94-4D64-A4C2-B0311C869CE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2C21DDF2-B267-4F62-8CE4-33C86D2C43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288725F1-1951-4661-A97F-A51FE17A7E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CAD23DE3-7AB5-4C5F-A6CA-95E23AD75D9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F8088102-FE34-429F-99E8-F459D129EE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1ADF7B04-F0A6-46C8-A12E-7F2F44A9C4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E09C80D7-83B9-4EDB-B33B-7424254E7E5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73D5BA9C-4586-416B-B386-CD47377A51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4C4A26DB-BBE2-4CB9-8773-D32EF9D203A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39005F85-90AF-44CD-903E-4B5A8C81DCC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23653A09-BC41-463D-B230-1836F83115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29BE991C-D8FB-4B0F-BE06-F2D544093B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0AE04878-6799-4A47-A283-36BCB6C572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FD8FC35B-E185-4669-A2C4-76B962C793D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82040E96-3CEB-466A-AA19-FC5E041D32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80893C66-26ED-4CBB-B55C-D5F41917442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CA0C643D-78C0-49B7-9A8A-05B881E88E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DF93A5D8-657A-4A34-B169-5E80877C95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231AA22E-554F-4654-A725-B44C799CBBB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9F2207AC-C743-43A3-B5DE-24D66F539A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5C290AF7-63CC-4D28-A615-6703D3273F4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26EA064D-7222-47EC-83F0-9EBCB4FAF3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7A338160-99D1-488B-A878-FD62BC37B0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7DB625C0-A379-4C26-9170-616EA7C565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92864DCB-E5FB-461A-93CE-650C007CCE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BBA7DF96-C933-4FA2-9573-8B3249C7EE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2D3E63E0-BBD2-4A95-9874-C5024866E3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611A450B-6957-496B-ABF4-4AE9C63D98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44963BC1-F8F2-467C-9797-A964E34B4E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A9B296A1-6D01-45C6-933F-4592CEDB63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B5616CF9-0010-448B-A186-EB94FE1C2E0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31DE9A7A-64B7-47AD-8686-080DF6471BC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3C522370-703C-4434-B73E-AC04B6F0952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B8938290-7D58-44C4-88C5-B9BE2CB7AF1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E58216B9-6626-4378-A231-76D43BEA43E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E14F8631-63E5-464A-B8C6-EEBB17FC8B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28DA5BAC-1C7C-4B85-AF09-9900FFB5B3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F465BCE7-FB4C-41E0-851F-39B0F6BBB2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F498F433-5C15-4F85-AB7B-36639A48F11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8FFD1613-3A76-43A7-9E35-B19AEAB14F6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4CA30F52-D38F-4B31-9498-27F9752AD67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7D6FB7F4-9AB1-498C-8BF7-2E3F90C33E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77ED109F-7F14-4854-AE81-FAF006B3A2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54CD45D6-F931-4397-B575-A39807C5CF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CE407FE5-B159-42AC-957B-383D22DBC9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D29C0643-EFB9-4D61-99D8-9BF1D2BCD69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1FD02CA6-811A-4E6D-AD09-DCFD6C6DDA5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7A09C404-2FD3-42A2-84B3-CF8C5223649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79561056-11D1-4EE1-A2CF-20E09B9708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8D450247-D096-49E4-BE04-6F0BD372129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6179AAE3-EDDD-498E-A215-8359089239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078B0676-B43D-4104-B7F1-66963158D1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C0C133D9-4F96-46A7-BF19-4BCD95B219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D539348A-DFB6-44FA-999C-A97A5E596B5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401C9BF6-F144-4419-9BEF-4B84102B603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5718D5E1-FB01-46E9-833E-A9108C6971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240A04DE-FB51-493A-B9D5-631808AEC2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184DFCC5-3DF6-4F52-9307-C30E679CAD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75DC6520-5AB3-48D6-ADB7-16D52993E3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E75BD686-B273-4BD1-BB8A-04F7DB350C0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F42F77C7-2FD0-4096-97F5-4F358770BB7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9BD34D10-E122-4A1C-9174-33A162F7DF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45FF5252-6F89-4002-84AF-6968DD0FC0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A3664FB1-AA1A-4C6E-8FDF-1C0F1499DD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E96D9FD5-14DF-4F0D-A596-DC11EE05FA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079502B3-383B-4E19-BAB7-1F1A6B58F4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913FAFE5-6409-4389-9583-FB29007D16C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B736ADAE-4364-443A-9380-AF4A93434C7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CD94B70F-D577-4747-94EE-20453D80E5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5E5F1EC2-E19C-4126-ADD9-C2AA92CCD18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CFA3F9DE-8AF6-4B46-82B9-65C36CC117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99D21592-8CFE-4448-A1B5-A09D43C9DC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B78657B5-8F81-46E6-800C-C72698203E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0FD19614-2194-469B-93FC-173A8CE6C4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7383AE31-CD01-4134-878E-5CD3BC4B3B8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BFED2732-43FF-4A45-85F6-7D2C4A1A553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F2595F3F-D653-4236-9570-0FA27366B07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2A1BE0DA-AF68-46A0-AD83-1086CDC23F8F}"/>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A8D3386F-B634-465A-9D95-28531D0C4FD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80FB4C5F-1565-44D1-BE10-BCB0064FF9B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2FDFEF07-2C01-4CA7-BEC8-EC56514CC24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A67A694F-BA08-4BD4-B334-9A98D6AD538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A43C667B-575B-474C-87D4-E6113746F7A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24C76DC2-8E87-4889-B5D0-6533583D8F9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26A6D121-D6C6-4ABB-B279-04478DE2E07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B44C8031-1938-4AFE-B4DC-DCE2C6A10C2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FCCA4D86-81A0-4ECC-BF23-4FE39895363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6B376DB0-E07E-4683-97BD-8B73F392CF5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3FF847FB-5945-4ADD-B48F-3C1B79327D6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6F217DFC-793D-4C18-B3AE-213ECB1D294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25D6360E-8E41-4023-815B-80B00E23301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CC63965E-8E06-4B8E-946E-73D01B065C4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FDF1E901-2327-40B9-885D-2C8901590D3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2AE94DA1-CB7D-4D77-B56E-D39411A6DD7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2E91B016-7844-4D23-ADF3-C4EAD42F81D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13E8C723-2190-44B5-B814-FAE179D73AD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03F5889F-77C0-46CB-B499-958E743E6EF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EF8F466E-BE01-47A1-AEA1-34683BBB01D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0F0BC9A2-8AF4-4140-BB72-86EFAC75042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8CB86CCE-D6AE-40DC-B0C5-9C596FB2A4F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F8FD866A-54A2-4E26-A80B-1E833C2DF43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87EDC79D-EE82-4C8F-A55A-24EC93B858A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23B2FFAF-61B3-4F4B-A315-FF0479DCED9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94F8E714-6829-405C-AA78-CBD46F5F12D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9ACFF7C0-6A4F-40DB-84BE-D51388D77E0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65910B68-1F60-43C8-BB59-9F42C3B3FC7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EFE65AB6-3465-4DB7-80A8-18DE1D57332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E78516C5-5267-438F-8B6E-DEB8DF121AA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FAFDB4DB-4890-4950-A0D6-E4D5E22D70E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D5B86672-CF78-4085-8F00-98224185F85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E5DC053A-0EBD-4CC8-9036-D1B5C876FA6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38302A6E-DFF6-48C9-97F3-C380767DBA7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E6470595-CC5F-44AA-ABA7-18F5CE98B0C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57FD6D01-6007-4806-887A-8F62032D173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81EBD006-B110-4FAB-B029-F780283BC3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9F6B3EE4-9872-42A3-A2FD-3179F2BAF7E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BE1CE5AB-31C5-4BC9-AAA5-8348E006F65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B05D7F73-5724-418A-B769-AFB332106DF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DDCD1E41-28AD-4B85-963F-AA1A27A07A3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FA07DD11-C13D-463B-A93C-4078D516EDB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018A0FD8-51D4-4D1C-B6C9-FA80DEB36A4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856B68AA-0A28-4F62-9B51-FF28B9011D2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2A8BEA02-BCDB-4F09-A916-CBA0B9051AB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07C4C400-E42F-4CDA-930C-CA18841E48F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1131F9AB-E525-4059-964A-BB95670ED8B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5D77DE93-A660-4AE9-993C-362DF954475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4B99825C-10C7-46EE-8506-07A0669EC20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01187281-2199-409B-8378-3BF15234A8D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A8CC7D63-6E3F-4220-A30E-19D7322F981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EB64B5E9-2F8D-486C-BC00-A4B802EC84D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F8B13AE1-0731-4E46-B3A4-15A1BF11F1F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9527A32A-16CE-4868-9E87-730A2A3DC42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C1167F50-69D6-40C1-8A24-62EF38A2378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50AED05A-ED2B-4E91-BBFB-94954FD9EE4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3D84E544-AC5C-4BB4-A731-F5C4D415B83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EC0F3B28-57C8-45DB-A431-B6482BD051C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F3C6EA4E-043B-4E0C-943D-5DDFB253E8D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216D9B5C-6FC3-445A-83F7-A15B5B05AC7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86FF9890-D82D-40DD-BD00-32ED1C0CBF1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15AAEC39-1FC0-40BD-B35B-9F90EF0B5A5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95A6EDC2-0DA8-4967-A218-0F689337CA7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81E523A8-C252-4164-BE04-17996C1BAD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742F45FC-44A4-4FD4-9440-2B07CE49FD0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8EA7415A-A78E-4AB1-B16C-F526C9C4251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35E23E66-1FFE-4609-A525-71E7C795463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9149BD9A-76C8-4D8D-957A-FA4DB6F919B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F71BA637-1107-4AEC-A18B-FCD6CE5EADE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D9D616BF-E2CE-429C-8242-5161951824F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85897970-BF4D-4845-84CC-28CE8DEC100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A5AF6D76-801B-4652-A936-076FF92642C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B507D5ED-979E-4486-A280-36108206B35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B365F71E-8450-43A3-B186-AF50AEAD19A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95B19CD1-66F0-4E0B-AD2D-46D8CBE0654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B53BCD05-BF0F-4CF1-B19D-45645E110E8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492074C9-CE2C-4D2A-918B-6347E8779B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DED30556-4D0C-489E-B0DE-D34CCC27C3D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45085D9A-DD36-4D12-BF4E-DDD1CA1F4D1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00ADDD23-5D5D-432F-88F2-43133C64027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30F54985-E136-4972-BC49-CFBAF4B53FB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FCFBA60E-4FF7-4A39-994D-852CF2769C6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C8CE279D-CD17-461F-9B0A-44A3231AE95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9EAEB140-BB08-453B-8BAE-786639350ED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88D9FA58-ACC2-437E-A5B1-77D9ACD68D3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02C6D29F-D7D4-4D11-BB4B-FF9CFF1B45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2A78DBF0-81D0-41D7-89F5-E7650C96BA1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88B2960A-1A6C-47EC-ADFB-5574B4E46B9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CD5A84DD-A1C0-4893-92FA-A3057EDB764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E0B5AE03-1F58-448A-8A75-857962A68F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E3FFA0C1-FA81-4CAF-8890-2840E3C3FD1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4FFA1CBC-0906-4675-AC68-C77EA3F5A37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03142195-FC2A-48C3-BC3D-A10BD7FF1C9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441AC649-9237-47CD-87C4-3406D02B1EF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A9C5F3A9-6974-4A47-B8BD-2B41709EAB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38927225-C9D7-455F-B2D0-8772EBF5AC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BA5A2580-6969-4A1A-84AA-DD1CA31CB7F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AA4B4996-DF41-4F67-9E45-3DAFF88311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D746D4F6-BB16-44D2-8633-E8FA6D780A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456D5E3E-7DC2-4C80-BB8D-B3E39B63904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E0A8997F-B8A7-4AA6-AA67-2DEA82E90D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AA059E43-E8C4-4366-BCC3-70E1521E81C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F4D0BA82-E62A-439E-B07D-67B3EA06AE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E100873C-F217-4D99-9613-47B649AE91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9C860FC8-B4A2-460B-A166-1BAFCA0FAD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A3D81F26-A37D-4B5F-96DF-E381C4F71E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FA617021-0B40-419B-8AAE-5C7614FB31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2E3C91DF-775F-4F71-B220-04A6D66F9D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CCC32B16-4261-490D-8FD1-3A73F5FFFB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032E9252-820E-4A22-8C90-998EA8ABAB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D6CB5852-BE8E-44D3-9084-3FDA40AF20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072CE99D-3347-4BFC-A28D-7F9A855321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80AEBFE7-0166-4EDB-8CE6-43B933A85A1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7604A16F-66D2-4C3E-BAF2-AAF110675BF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82B36048-8620-4352-8325-F1E8A9BAD71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F37B7E35-1FC5-40BB-B908-7A4BA2EC7E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6B61F560-28A1-4F00-813E-B576ADC3714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52B8732A-1472-4CA3-ADF1-F05F5B1808C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6D959B58-1342-4A05-A5BC-CA1E33CA66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A570BE50-A767-419B-A007-5871E38301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3C4FE313-B26E-41E0-B768-4580580E1EB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619E7FC8-2928-47A2-8B62-EFE6976766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5241C9CB-AE8B-4B6F-B403-33E838C43FD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36823B57-CA78-4ECC-ACEB-B08011344B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A830902E-700A-47B7-9CB0-0AB224E902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C96C030E-569D-4A9F-A664-C370D90C63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540D95E0-FF83-4C0F-990E-E457EF55CB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69335902-67CD-4CA1-AA77-A1538DC6112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CDDDBBB3-C577-47DD-842F-06ED654A204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293B9609-8D6D-419D-9DCF-DB880D9924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D8581FB2-FCA5-4F62-9854-25236D73CE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69F1693E-AAA2-4A00-BF6E-30C5AE017DB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9B3B4E5B-89A5-485C-992D-BEDF82EC9A5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21847A40-BC78-4C53-BE73-F101D077A7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D499383E-43C3-43A7-A433-C9BEDBF722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E53AA181-8D3C-4F52-B8C5-1C936D23F0D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C8612288-04C2-49FD-BF5F-F62AE2822C2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50F2A23D-C88E-442C-BB64-663B44E6A0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D85A7456-4913-4545-80D6-53B99B25FB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AFA6DFE8-014A-440A-8EB1-1A6A01F3D5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CA4A80CF-C08E-4622-B853-049C86AF73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1D72A3B2-ECAB-4541-8019-7B07107949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FF60B682-2308-4E24-B2D4-FC0A5C8E6D2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595D3BC4-5D72-4C3F-96D8-969E374D02E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244565BC-CAC9-4673-96EC-6D88F7BA16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78AC8D8A-B876-45A8-A61F-4365B1905D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ACDBA832-DAF4-4A1C-B4FB-25C4B3FCA4D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F7519AC5-1905-482E-8206-AAE317D2D38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4E9043D8-9C22-4BD4-BAE4-833C8259F8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5623E386-78E0-4268-B075-6E4F0799FD3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B43229BF-6270-41A9-B51F-C0C30DF985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753375D4-589F-4F59-8A6F-3F9537BE2C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BE2AA4F3-6C08-47EA-8604-F10A4ECACD6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3E21E961-9420-4098-A53B-D13AB1C37F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04BEB8DE-C35B-475F-919E-4EC7F97C3DB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434CCD5B-5A51-4F09-99EA-62C72A2D6E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E959FC5F-561E-42F4-BDDB-5938D6633BE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5F31B282-BD06-4AFA-BFF2-44BDCBDB70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FFF501C9-F650-496D-90CA-AA2E0FE3F0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8ED003BA-B596-4F7F-BFF3-31DFB0288D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FD907AFF-03A4-4FE0-9E24-3810D2CCA8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9476F59E-6F62-4E0B-A458-87CAD8C94F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169D41E4-7F8D-4528-B086-569B0A55B5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1F9E3E9D-7786-4F20-A0D2-EB577598A3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1D7D2115-3DED-46FC-B878-0AD1F00D25B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49E4FB51-C40B-4D53-A1A7-8E5EAD21B78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99D9A971-C428-40CD-9314-90CBFCB4DB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2338279C-8135-4D64-A084-0ED4C90F30A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2F4D42D3-E807-4E38-952D-8F32A46C3C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01EFB297-BF20-476C-84DD-FFE4AEA133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F17A5660-107C-496F-9B48-25EFB736A29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3D7E7AC0-3A89-4EA6-81BC-1D9AB44DB5D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82DF794E-451C-4CCC-A794-1393BFF02B2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F90C8357-F7C9-43AE-B209-6ED875B48C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223452FE-9222-4B32-AAB3-0B0569B9E9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53372B11-E03E-4602-B23C-4FA102DCFA7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3DCBC956-3B2C-497F-8C83-D18C3122D7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9051CA47-C6BF-4BCC-A835-0944891499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79F8332A-B4C2-4D24-B46F-D99B2B69E4D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4BBC46AF-6675-4799-A3A3-521416286AB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0792412C-47BF-4A1A-BEA4-B6ADF88B3F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13CBD294-7383-41D3-A359-CACE7434DAF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4A3085CB-317A-4A47-9BBF-0F55D22574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36B68C2C-478C-4F84-89BC-4F677AB2B1E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81B34B66-AB09-4C8F-937F-1CC828CC60A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D29260CC-9739-478C-9E72-622841F9B8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07215849-97E9-4744-9031-2A2F0B4BAA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45C8E297-1212-4156-9019-3CA59C62D2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FE566E21-583B-4C9D-8272-0ABE8938F94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F48C8E88-A7AF-4395-80D4-F38EE78DBDF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7FEA4DDF-C93C-4EB2-98F1-91D73B06D4D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33AE3D34-8137-4FA2-8359-3EADBA8E0FF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C0E03C2E-A795-43EF-B35E-6362C62EAF1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DC7D7E43-01EB-40F9-8A8B-1256345B063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68294BCA-B063-497D-82AC-3038BA9819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01D2A4CE-DD8E-4B7E-AD95-BBFFE3F6689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7080CD18-AD6F-4373-9717-77A7EC75A5A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2C732F66-4586-41FD-A051-5B4F76F168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E7BB6BE3-061D-4D26-A3A7-97BB3FB736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813E6E28-0C19-4863-BDEF-53490C72BD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4C42A048-BF3C-480C-8FC1-81F5E319E9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CA7BECD5-741F-4F07-9873-9047F8FC94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9979CDCF-7C63-4A96-AF52-8A87A7FF81C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EF3FA9BA-9F1B-4816-ABEB-5B905878DE4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D6E91E65-E1E7-4043-A29F-D3FF7CC883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6E00E4D3-697D-4AA0-A4BB-265D73E345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A17A9A52-24EF-4F91-BFE4-78B6D3EC03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2CB00D80-7632-4DD4-8AB6-FBCF9C2B14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4CD3DE68-A134-4CBC-B7EE-8521F7FF172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3424C5BE-BB68-4409-8472-A051D0E078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5937B53D-A10B-47A1-B78F-7BA215E6F9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1401272A-2C22-4CE7-A891-C30BB25A1C3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DFAECC2F-0EE7-4B8B-AB2F-0249301FE8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D131011D-C0B0-465B-8C1A-45ED1DA82C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1E0E8938-7750-40DD-947C-4A7B71AE51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FB2A02A3-3028-46FB-A35E-7168A3D197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46F0A3E3-86EB-45DF-A5C0-B1761EE5326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2AC0B02A-861F-4483-B375-B983AF183A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ECC182D7-8260-444B-A4AA-F6F014D1503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EAA05698-6E5F-4A04-BB24-6D50E21A852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D6C31F61-1C0C-434D-AE04-D4BC20F0B3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3A59AF68-C6F4-4668-AC8A-D78B21BB95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111D04A8-2553-497C-B1E5-E254DB32C8B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7550B19C-DB54-40DE-9421-A53753C8AA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23204BE8-5672-4588-98F5-9FD5C9352C2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7D7B7BB0-D011-4A5E-911E-91DEA1E007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DD1021A4-10E5-456B-B04B-1B320D0F185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7317C179-6122-4A95-A1FE-BE9B65FB8B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B2C9F9D5-9F01-4F51-8BA4-3A0E0D3179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3D3FE90C-8502-4238-BE1D-71F24E0777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3E703BBA-3DDD-43A7-8139-7DD3F3BD2AD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54108A5C-4B37-402E-8DC9-FCFDB5E556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E80ED3A7-1089-4E63-945E-F3F0D61527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8DCA2296-015E-46FA-B843-033865DC56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0F6CFCDE-B0D5-4CE8-89CD-8D5011F889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D3AF88A6-4B22-4F3A-91D7-3ACEE6F76A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C44AA3FC-9E23-43A0-B4B5-4805980621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C3F8FD6F-FEDF-4D29-9F40-9717AE65E95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A009EAFB-41F4-4742-8287-23A7E7AB17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22983C88-5525-4E5F-B438-5B26EC7DE5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08D61154-59BC-4437-82FB-30B6790712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55ACD850-2932-402F-A634-7C23221A0CF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E1AE17D1-E1FD-4BB7-AED9-A43E3FED91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BB78A86B-DF5E-4C06-9781-6792F8A2EB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B85EEE69-7367-4399-A42F-19B75AB7225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F63C8AF2-E74F-416A-A2BD-930B1A0A98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F49B3C90-0B69-4037-90E1-515277A9E12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E5EB0CE6-8F98-4EF8-88EE-F8B535FBE1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FC8E13C0-E3D3-4DC1-AA8D-FACB2ACE4FA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1562989A-40AE-4D07-8BE8-59E72F16FCB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FCF0C0A0-77F1-4D44-AA63-E531BD129F0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93409E11-685C-4565-BFD4-2BF6465D53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1B5042EC-BB55-4C29-8415-9746DC56574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2DBD30CF-3F53-4256-8528-D80B985BA2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3E45D027-A2BE-4806-AF60-E7AB9C24658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4889DCA4-6D4C-454F-A86E-C3A3F35173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3B6B2D5E-9595-4C0F-B289-13A7CABC952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52B32044-CFB4-476A-9CF9-E86AFA089AF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F5A1014A-9C15-4391-947A-77617CB33A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3D21B185-0470-43DD-AEBD-F94C722EB9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A37A716D-1EF6-460D-93FC-BDF3E1BC626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BEAEE4F0-8EE4-42F4-B86D-D3C6FC56378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DF0BED93-ACC7-40D0-A384-B5D50329B1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5BAA437F-9050-492D-A4ED-8C6C0FB35EE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3EFAFA9C-7092-499E-831A-7EFC153F0F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67F3AD1B-713F-4901-A941-95290CC489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F86E77D6-22E1-4674-BC9A-9EA99EF177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8BED1E76-BA8F-4B28-A3A7-DA5E93DA5F1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09933339-A9CF-4A60-8E5C-E4B60371904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B32195D1-6C98-444E-A45C-0BD0869053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1543AB48-8989-4ADC-8E39-A62FAE22C6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56513DF0-2445-4890-ACC0-A98E124570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2128899A-FA95-440E-9C00-C5496F3B402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D04971C5-CE69-481F-932A-C3E5DDFA41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175CDC10-9B25-4F23-AD88-159A2566E9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B40EAE9B-32F2-4E50-A915-8DF94B529A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39817400-1D6D-4FA0-8F71-9A66E852D8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3C13672E-AAA6-454B-8A31-735F96E330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17AD030A-052C-4F69-AEA1-6823B9F056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0755D08E-57B2-460B-A883-9FB62BFC8C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D9A74D36-491D-42AD-9E26-AF3E3AD63B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38712D88-7433-43DB-884A-DDB1E2C67A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2178A501-D355-4BCB-94E3-FC78E48A0D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E7BB870B-2517-473F-B64F-C099453D2B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84D732F9-7023-458E-8523-DEE233B5CB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7DF953D0-7F4E-4FC3-83B5-B76FE7C2B5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12</xdr:col>
      <xdr:colOff>0</xdr:colOff>
      <xdr:row>28</xdr:row>
      <xdr:rowOff>0</xdr:rowOff>
    </xdr:to>
    <xdr:grpSp>
      <xdr:nvGrpSpPr>
        <xdr:cNvPr id="2" name="グループ化 1">
          <a:extLst>
            <a:ext uri="{FF2B5EF4-FFF2-40B4-BE49-F238E27FC236}">
              <a16:creationId xmlns:a16="http://schemas.microsoft.com/office/drawing/2014/main" id="{B8E3C554-3FC8-4BD5-991D-8DDD8C2B9573}"/>
            </a:ext>
          </a:extLst>
        </xdr:cNvPr>
        <xdr:cNvGrpSpPr/>
      </xdr:nvGrpSpPr>
      <xdr:grpSpPr>
        <a:xfrm>
          <a:off x="0" y="352425"/>
          <a:ext cx="7315200" cy="5943600"/>
          <a:chOff x="0" y="352425"/>
          <a:chExt cx="7315200" cy="5943600"/>
        </a:xfrm>
      </xdr:grpSpPr>
      <xdr:graphicFrame macro="">
        <xdr:nvGraphicFramePr>
          <xdr:cNvPr id="3" name="HXC_V1_LA7">
            <a:extLst>
              <a:ext uri="{FF2B5EF4-FFF2-40B4-BE49-F238E27FC236}">
                <a16:creationId xmlns:a16="http://schemas.microsoft.com/office/drawing/2014/main" id="{DAC7070A-080B-4725-AFB2-851BB8C0FD44}"/>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HXC_V1_LA6">
            <a:extLst>
              <a:ext uri="{FF2B5EF4-FFF2-40B4-BE49-F238E27FC236}">
                <a16:creationId xmlns:a16="http://schemas.microsoft.com/office/drawing/2014/main" id="{2C7C78EA-1CDB-4A30-B099-171FD2198E9F}"/>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HXC_V1_LA5">
            <a:extLst>
              <a:ext uri="{FF2B5EF4-FFF2-40B4-BE49-F238E27FC236}">
                <a16:creationId xmlns:a16="http://schemas.microsoft.com/office/drawing/2014/main" id="{DC00D408-F554-4057-8154-E02C2F26666A}"/>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HXC_V1_LA4">
            <a:extLst>
              <a:ext uri="{FF2B5EF4-FFF2-40B4-BE49-F238E27FC236}">
                <a16:creationId xmlns:a16="http://schemas.microsoft.com/office/drawing/2014/main" id="{D7A7D1A3-5648-4448-B51B-7FAE96FB6A96}"/>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HXC_V1_LA3">
            <a:extLst>
              <a:ext uri="{FF2B5EF4-FFF2-40B4-BE49-F238E27FC236}">
                <a16:creationId xmlns:a16="http://schemas.microsoft.com/office/drawing/2014/main" id="{103025A4-FB98-437F-8CC9-273CB2EAEFD8}"/>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HXC_V1_LA2">
            <a:extLst>
              <a:ext uri="{FF2B5EF4-FFF2-40B4-BE49-F238E27FC236}">
                <a16:creationId xmlns:a16="http://schemas.microsoft.com/office/drawing/2014/main" id="{4894C095-A376-45BA-8C43-2802551EED2D}"/>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HXC_V1_LA1">
            <a:extLst>
              <a:ext uri="{FF2B5EF4-FFF2-40B4-BE49-F238E27FC236}">
                <a16:creationId xmlns:a16="http://schemas.microsoft.com/office/drawing/2014/main" id="{5F4FB8F7-8F06-4E07-8CED-4653A9BEFE4C}"/>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HXC_V1_LA0">
            <a:extLst>
              <a:ext uri="{FF2B5EF4-FFF2-40B4-BE49-F238E27FC236}">
                <a16:creationId xmlns:a16="http://schemas.microsoft.com/office/drawing/2014/main" id="{0C5C9B1F-7C10-4D1D-9F0C-0E84DC08700D}"/>
              </a:ext>
            </a:extLst>
          </xdr:cNvPr>
          <xdr:cNvGraphicFramePr>
            <a:graphicFrameLocks/>
          </xdr:cNvGraphicFramePr>
        </xdr:nvGraphicFramePr>
        <xdr:xfrm>
          <a:off x="0" y="352425"/>
          <a:ext cx="7315200" cy="5943600"/>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9</xdr:row>
      <xdr:rowOff>0</xdr:rowOff>
    </xdr:from>
    <xdr:ext cx="4433455" cy="3013364"/>
    <xdr:sp macro="" textlink="">
      <xdr:nvSpPr>
        <xdr:cNvPr id="2" name="建屋1">
          <a:extLst>
            <a:ext uri="{FF2B5EF4-FFF2-40B4-BE49-F238E27FC236}">
              <a16:creationId xmlns:a16="http://schemas.microsoft.com/office/drawing/2014/main" id="{C1DEE52E-97EE-4BD2-A037-4F99DF149EB3}"/>
            </a:ext>
          </a:extLst>
        </xdr:cNvPr>
        <xdr:cNvSpPr>
          <a:spLocks noChangeArrowheads="1"/>
        </xdr:cNvSpPr>
      </xdr:nvSpPr>
      <xdr:spPr bwMode="auto">
        <a:xfrm rot="21300000">
          <a:off x="1714500" y="2381250"/>
          <a:ext cx="4433455" cy="3013364"/>
        </a:xfrm>
        <a:prstGeom prst="rect">
          <a:avLst/>
        </a:prstGeom>
        <a:gradFill flip="none" rotWithShape="1">
          <a:gsLst>
            <a:gs pos="91500">
              <a:srgbClr val="EAEAEA"/>
            </a:gs>
            <a:gs pos="68000">
              <a:srgbClr val="DDDDDD"/>
            </a:gs>
            <a:gs pos="99000">
              <a:srgbClr val="F8F8F8"/>
            </a:gs>
          </a:gsLst>
          <a:path path="circle">
            <a:fillToRect r="100000" b="100000"/>
          </a:path>
          <a:tileRect l="-100000" t="-100000"/>
        </a:gradFill>
        <a:ln w="19050">
          <a:solidFill>
            <a:srgbClr val="5F5F5F"/>
          </a:solidFill>
          <a:miter lim="800000"/>
          <a:headEnd/>
          <a:tailEnd/>
        </a:ln>
        <a:effectLst>
          <a:outerShdw blurRad="50800" dist="38100" algn="l" rotWithShape="0">
            <a:prstClr val="black">
              <a:alpha val="0"/>
            </a:prstClr>
          </a:outerShdw>
        </a:effectLst>
        <a:scene3d>
          <a:camera prst="orthographicFront"/>
          <a:lightRig rig="threePt" dir="t"/>
        </a:scene3d>
        <a:sp3d>
          <a:bevelT prst="slope"/>
        </a:sp3d>
        <a:extLst/>
      </xdr:spPr>
    </xdr:sp>
    <xdr:clientData/>
  </xdr:oneCellAnchor>
  <xdr:oneCellAnchor>
    <xdr:from>
      <xdr:col>5</xdr:col>
      <xdr:colOff>451729</xdr:colOff>
      <xdr:row>7</xdr:row>
      <xdr:rowOff>75584</xdr:rowOff>
    </xdr:from>
    <xdr:ext cx="401782" cy="171450"/>
    <xdr:sp macro="" textlink="">
      <xdr:nvSpPr>
        <xdr:cNvPr id="3" name="北面1">
          <a:extLst>
            <a:ext uri="{FF2B5EF4-FFF2-40B4-BE49-F238E27FC236}">
              <a16:creationId xmlns:a16="http://schemas.microsoft.com/office/drawing/2014/main" id="{669E0501-53BF-4218-8495-A24B495FA68B}"/>
            </a:ext>
          </a:extLst>
        </xdr:cNvPr>
        <xdr:cNvSpPr txBox="1">
          <a:spLocks noChangeArrowheads="1"/>
        </xdr:cNvSpPr>
      </xdr:nvSpPr>
      <xdr:spPr bwMode="auto">
        <a:xfrm>
          <a:off x="3271129" y="1961534"/>
          <a:ext cx="401782"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N</a:t>
          </a:r>
          <a:endParaRPr lang="ja-JP" altLang="en-US" sz="1200" b="1"/>
        </a:p>
      </xdr:txBody>
    </xdr:sp>
    <xdr:clientData/>
  </xdr:oneCellAnchor>
  <xdr:oneCellAnchor>
    <xdr:from>
      <xdr:col>11</xdr:col>
      <xdr:colOff>259420</xdr:colOff>
      <xdr:row>13</xdr:row>
      <xdr:rowOff>20967</xdr:rowOff>
    </xdr:from>
    <xdr:ext cx="400050" cy="174914"/>
    <xdr:sp macro="" textlink="">
      <xdr:nvSpPr>
        <xdr:cNvPr id="4" name="東面1">
          <a:extLst>
            <a:ext uri="{FF2B5EF4-FFF2-40B4-BE49-F238E27FC236}">
              <a16:creationId xmlns:a16="http://schemas.microsoft.com/office/drawing/2014/main" id="{D4F3DC57-8C71-4D57-8E1E-BB0604B601E1}"/>
            </a:ext>
          </a:extLst>
        </xdr:cNvPr>
        <xdr:cNvSpPr txBox="1">
          <a:spLocks noChangeArrowheads="1"/>
        </xdr:cNvSpPr>
      </xdr:nvSpPr>
      <xdr:spPr bwMode="auto">
        <a:xfrm>
          <a:off x="6393520" y="3392817"/>
          <a:ext cx="400050" cy="17491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E</a:t>
          </a:r>
          <a:endParaRPr lang="ja-JP" altLang="en-US" sz="1200" b="1"/>
        </a:p>
      </xdr:txBody>
    </xdr:sp>
    <xdr:clientData/>
  </xdr:oneCellAnchor>
  <xdr:oneCellAnchor>
    <xdr:from>
      <xdr:col>7</xdr:col>
      <xdr:colOff>265243</xdr:colOff>
      <xdr:row>22</xdr:row>
      <xdr:rowOff>42181</xdr:rowOff>
    </xdr:from>
    <xdr:ext cx="400050" cy="174913"/>
    <xdr:sp macro="" textlink="">
      <xdr:nvSpPr>
        <xdr:cNvPr id="5" name="南面1">
          <a:extLst>
            <a:ext uri="{FF2B5EF4-FFF2-40B4-BE49-F238E27FC236}">
              <a16:creationId xmlns:a16="http://schemas.microsoft.com/office/drawing/2014/main" id="{70BF0AD7-3503-4185-9F36-D725D1EF3CB2}"/>
            </a:ext>
          </a:extLst>
        </xdr:cNvPr>
        <xdr:cNvSpPr txBox="1">
          <a:spLocks noChangeArrowheads="1"/>
        </xdr:cNvSpPr>
      </xdr:nvSpPr>
      <xdr:spPr bwMode="auto">
        <a:xfrm>
          <a:off x="4189543" y="5642881"/>
          <a:ext cx="400050" cy="17491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S</a:t>
          </a:r>
          <a:endParaRPr lang="ja-JP" altLang="en-US" sz="1200" b="1"/>
        </a:p>
      </xdr:txBody>
    </xdr:sp>
    <xdr:clientData/>
  </xdr:oneCellAnchor>
  <xdr:oneCellAnchor>
    <xdr:from>
      <xdr:col>1</xdr:col>
      <xdr:colOff>457553</xdr:colOff>
      <xdr:row>16</xdr:row>
      <xdr:rowOff>93333</xdr:rowOff>
    </xdr:from>
    <xdr:ext cx="401782" cy="171450"/>
    <xdr:sp macro="" textlink="">
      <xdr:nvSpPr>
        <xdr:cNvPr id="6" name="西面1">
          <a:extLst>
            <a:ext uri="{FF2B5EF4-FFF2-40B4-BE49-F238E27FC236}">
              <a16:creationId xmlns:a16="http://schemas.microsoft.com/office/drawing/2014/main" id="{27C32F34-F86C-44DA-9948-E7F214442FA6}"/>
            </a:ext>
          </a:extLst>
        </xdr:cNvPr>
        <xdr:cNvSpPr txBox="1">
          <a:spLocks noChangeArrowheads="1"/>
        </xdr:cNvSpPr>
      </xdr:nvSpPr>
      <xdr:spPr bwMode="auto">
        <a:xfrm>
          <a:off x="1067153" y="4208133"/>
          <a:ext cx="401782"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W</a:t>
          </a:r>
        </a:p>
      </xdr:txBody>
    </xdr:sp>
    <xdr:clientData/>
  </xdr:oneCellAnchor>
  <xdr:oneCellAnchor>
    <xdr:from>
      <xdr:col>7</xdr:col>
      <xdr:colOff>0</xdr:colOff>
      <xdr:row>8</xdr:row>
      <xdr:rowOff>0</xdr:rowOff>
    </xdr:from>
    <xdr:ext cx="0" cy="3515591"/>
    <xdr:sp macro="" textlink="">
      <xdr:nvSpPr>
        <xdr:cNvPr id="7" name="垂直線21">
          <a:extLst>
            <a:ext uri="{FF2B5EF4-FFF2-40B4-BE49-F238E27FC236}">
              <a16:creationId xmlns:a16="http://schemas.microsoft.com/office/drawing/2014/main" id="{DBEE0961-9092-4F95-8683-C6CBEEF10900}"/>
            </a:ext>
          </a:extLst>
        </xdr:cNvPr>
        <xdr:cNvSpPr>
          <a:spLocks noChangeShapeType="1"/>
        </xdr:cNvSpPr>
      </xdr:nvSpPr>
      <xdr:spPr bwMode="auto">
        <a:xfrm rot="21300000" flipV="1">
          <a:off x="3924300" y="2133600"/>
          <a:ext cx="0" cy="3515591"/>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xdr:col>
      <xdr:colOff>0</xdr:colOff>
      <xdr:row>15</xdr:row>
      <xdr:rowOff>0</xdr:rowOff>
    </xdr:from>
    <xdr:ext cx="5541818" cy="0"/>
    <xdr:sp macro="" textlink="">
      <xdr:nvSpPr>
        <xdr:cNvPr id="8" name="水平線21">
          <a:extLst>
            <a:ext uri="{FF2B5EF4-FFF2-40B4-BE49-F238E27FC236}">
              <a16:creationId xmlns:a16="http://schemas.microsoft.com/office/drawing/2014/main" id="{972069B6-A76B-480C-ADE2-AC263B442C81}"/>
            </a:ext>
          </a:extLst>
        </xdr:cNvPr>
        <xdr:cNvSpPr>
          <a:spLocks noChangeShapeType="1"/>
        </xdr:cNvSpPr>
      </xdr:nvSpPr>
      <xdr:spPr bwMode="auto">
        <a:xfrm rot="21300000">
          <a:off x="1162050" y="3867150"/>
          <a:ext cx="5541818"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16</xdr:col>
      <xdr:colOff>507276</xdr:colOff>
      <xdr:row>9</xdr:row>
      <xdr:rowOff>0</xdr:rowOff>
    </xdr:from>
    <xdr:ext cx="4419600" cy="2971800"/>
    <xdr:sp macro="" textlink="">
      <xdr:nvSpPr>
        <xdr:cNvPr id="9" name="建屋2">
          <a:extLst>
            <a:ext uri="{FF2B5EF4-FFF2-40B4-BE49-F238E27FC236}">
              <a16:creationId xmlns:a16="http://schemas.microsoft.com/office/drawing/2014/main" id="{92D43E46-2B08-4E71-8F84-A59D91A10BB9}"/>
            </a:ext>
          </a:extLst>
        </xdr:cNvPr>
        <xdr:cNvSpPr>
          <a:spLocks noChangeArrowheads="1"/>
        </xdr:cNvSpPr>
      </xdr:nvSpPr>
      <xdr:spPr bwMode="auto">
        <a:xfrm rot="21300000">
          <a:off x="9517926" y="2381250"/>
          <a:ext cx="4419600" cy="2971800"/>
        </a:xfrm>
        <a:prstGeom prst="rect">
          <a:avLst/>
        </a:prstGeom>
        <a:gradFill flip="none" rotWithShape="1">
          <a:gsLst>
            <a:gs pos="91500">
              <a:srgbClr val="EAEAEA"/>
            </a:gs>
            <a:gs pos="68000">
              <a:srgbClr val="DDDDDD"/>
            </a:gs>
            <a:gs pos="99000">
              <a:srgbClr val="F8F8F8"/>
            </a:gs>
          </a:gsLst>
          <a:path path="circle">
            <a:fillToRect r="100000" b="100000"/>
          </a:path>
          <a:tileRect l="-100000" t="-100000"/>
        </a:gradFill>
        <a:ln w="19050">
          <a:solidFill>
            <a:srgbClr val="5F5F5F"/>
          </a:solidFill>
          <a:miter lim="800000"/>
          <a:headEnd/>
          <a:tailEnd/>
        </a:ln>
        <a:effectLst>
          <a:outerShdw blurRad="50800" dist="38100" algn="l" rotWithShape="0">
            <a:prstClr val="black">
              <a:alpha val="0"/>
            </a:prstClr>
          </a:outerShdw>
        </a:effectLst>
        <a:scene3d>
          <a:camera prst="orthographicFront"/>
          <a:lightRig rig="threePt" dir="t"/>
        </a:scene3d>
        <a:sp3d>
          <a:bevelT prst="slope"/>
        </a:sp3d>
        <a:extLst/>
      </xdr:spPr>
    </xdr:sp>
    <xdr:clientData/>
  </xdr:oneCellAnchor>
  <xdr:oneCellAnchor>
    <xdr:from>
      <xdr:col>19</xdr:col>
      <xdr:colOff>403172</xdr:colOff>
      <xdr:row>7</xdr:row>
      <xdr:rowOff>75504</xdr:rowOff>
    </xdr:from>
    <xdr:ext cx="400050" cy="171450"/>
    <xdr:sp macro="" textlink="">
      <xdr:nvSpPr>
        <xdr:cNvPr id="10" name="北面2">
          <a:extLst>
            <a:ext uri="{FF2B5EF4-FFF2-40B4-BE49-F238E27FC236}">
              <a16:creationId xmlns:a16="http://schemas.microsoft.com/office/drawing/2014/main" id="{EA51A992-F519-475A-A091-84F494D6C7B4}"/>
            </a:ext>
          </a:extLst>
        </xdr:cNvPr>
        <xdr:cNvSpPr txBox="1">
          <a:spLocks noChangeArrowheads="1"/>
        </xdr:cNvSpPr>
      </xdr:nvSpPr>
      <xdr:spPr bwMode="auto">
        <a:xfrm>
          <a:off x="11071172" y="1961454"/>
          <a:ext cx="4000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a:latin typeface="ＭＳ Ｐゴシック" panose="020B0600070205080204" pitchFamily="50" charset="-128"/>
              <a:ea typeface="ＭＳ Ｐゴシック" panose="020B0600070205080204" pitchFamily="50" charset="-128"/>
            </a:rPr>
            <a:t>N</a:t>
          </a:r>
          <a:endParaRPr lang="ja-JP" altLang="en-US" sz="1200" b="1">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211331</xdr:colOff>
      <xdr:row>22</xdr:row>
      <xdr:rowOff>696</xdr:rowOff>
    </xdr:from>
    <xdr:ext cx="400050" cy="171450"/>
    <xdr:sp macro="" textlink="">
      <xdr:nvSpPr>
        <xdr:cNvPr id="11" name="南面2">
          <a:extLst>
            <a:ext uri="{FF2B5EF4-FFF2-40B4-BE49-F238E27FC236}">
              <a16:creationId xmlns:a16="http://schemas.microsoft.com/office/drawing/2014/main" id="{A8A3C5A3-DB37-4EDD-98AD-2C262C7371E7}"/>
            </a:ext>
          </a:extLst>
        </xdr:cNvPr>
        <xdr:cNvSpPr txBox="1">
          <a:spLocks noChangeArrowheads="1"/>
        </xdr:cNvSpPr>
      </xdr:nvSpPr>
      <xdr:spPr bwMode="auto">
        <a:xfrm>
          <a:off x="11984231" y="5601396"/>
          <a:ext cx="4000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S</a:t>
          </a:r>
          <a:endParaRPr lang="ja-JP" altLang="en-US" sz="1200" b="1"/>
        </a:p>
      </xdr:txBody>
    </xdr:sp>
    <xdr:clientData/>
  </xdr:oneCellAnchor>
  <xdr:oneCellAnchor>
    <xdr:from>
      <xdr:col>15</xdr:col>
      <xdr:colOff>414085</xdr:colOff>
      <xdr:row>16</xdr:row>
      <xdr:rowOff>71947</xdr:rowOff>
    </xdr:from>
    <xdr:ext cx="400050" cy="171450"/>
    <xdr:sp macro="" textlink="">
      <xdr:nvSpPr>
        <xdr:cNvPr id="12" name="西面2">
          <a:extLst>
            <a:ext uri="{FF2B5EF4-FFF2-40B4-BE49-F238E27FC236}">
              <a16:creationId xmlns:a16="http://schemas.microsoft.com/office/drawing/2014/main" id="{59DA7197-5806-4FFF-940A-B3AF3E0D5634}"/>
            </a:ext>
          </a:extLst>
        </xdr:cNvPr>
        <xdr:cNvSpPr txBox="1">
          <a:spLocks noChangeArrowheads="1"/>
        </xdr:cNvSpPr>
      </xdr:nvSpPr>
      <xdr:spPr bwMode="auto">
        <a:xfrm>
          <a:off x="8872285" y="4186747"/>
          <a:ext cx="4000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a:latin typeface="ＭＳ Ｐゴシック" panose="020B0600070205080204" pitchFamily="50" charset="-128"/>
              <a:ea typeface="ＭＳ Ｐゴシック" panose="020B0600070205080204" pitchFamily="50" charset="-128"/>
            </a:rPr>
            <a:t>W</a:t>
          </a:r>
          <a:endParaRPr lang="ja-JP" altLang="en-US" sz="1200" b="1">
            <a:latin typeface="ＭＳ Ｐゴシック" panose="020B0600070205080204" pitchFamily="50" charset="-128"/>
            <a:ea typeface="ＭＳ Ｐゴシック" panose="020B0600070205080204" pitchFamily="50" charset="-128"/>
          </a:endParaRPr>
        </a:p>
      </xdr:txBody>
    </xdr:sp>
    <xdr:clientData/>
  </xdr:oneCellAnchor>
  <xdr:oneCellAnchor>
    <xdr:from>
      <xdr:col>20</xdr:col>
      <xdr:colOff>498472</xdr:colOff>
      <xdr:row>8</xdr:row>
      <xdr:rowOff>0</xdr:rowOff>
    </xdr:from>
    <xdr:ext cx="0" cy="3467100"/>
    <xdr:sp macro="" textlink="">
      <xdr:nvSpPr>
        <xdr:cNvPr id="13" name="垂直線22">
          <a:extLst>
            <a:ext uri="{FF2B5EF4-FFF2-40B4-BE49-F238E27FC236}">
              <a16:creationId xmlns:a16="http://schemas.microsoft.com/office/drawing/2014/main" id="{00D5FD64-FB28-4E81-9B5F-240EE23CDE9C}"/>
            </a:ext>
          </a:extLst>
        </xdr:cNvPr>
        <xdr:cNvSpPr>
          <a:spLocks noChangeShapeType="1"/>
        </xdr:cNvSpPr>
      </xdr:nvSpPr>
      <xdr:spPr bwMode="auto">
        <a:xfrm rot="21300000" flipV="1">
          <a:off x="11718922" y="2133600"/>
          <a:ext cx="0" cy="346710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oneCellAnchor>
    <xdr:from>
      <xdr:col>20</xdr:col>
      <xdr:colOff>373380</xdr:colOff>
      <xdr:row>27</xdr:row>
      <xdr:rowOff>57150</xdr:rowOff>
    </xdr:from>
    <xdr:ext cx="266700" cy="180975"/>
    <xdr:sp macro="" textlink="">
      <xdr:nvSpPr>
        <xdr:cNvPr id="14" name="Text Box 13">
          <a:extLst>
            <a:ext uri="{FF2B5EF4-FFF2-40B4-BE49-F238E27FC236}">
              <a16:creationId xmlns:a16="http://schemas.microsoft.com/office/drawing/2014/main" id="{7BB9D5B8-1697-4469-9BA1-04D2925DF9D5}"/>
            </a:ext>
          </a:extLst>
        </xdr:cNvPr>
        <xdr:cNvSpPr txBox="1">
          <a:spLocks noChangeArrowheads="1"/>
        </xdr:cNvSpPr>
      </xdr:nvSpPr>
      <xdr:spPr bwMode="auto">
        <a:xfrm>
          <a:off x="11593830" y="6896100"/>
          <a:ext cx="266700"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endParaRPr lang="ja-JP" altLang="en-US" sz="1200"/>
        </a:p>
      </xdr:txBody>
    </xdr:sp>
    <xdr:clientData/>
  </xdr:oneCellAnchor>
  <xdr:oneCellAnchor>
    <xdr:from>
      <xdr:col>16</xdr:col>
      <xdr:colOff>0</xdr:colOff>
      <xdr:row>14</xdr:row>
      <xdr:rowOff>236220</xdr:rowOff>
    </xdr:from>
    <xdr:ext cx="5524500" cy="0"/>
    <xdr:sp macro="" textlink="">
      <xdr:nvSpPr>
        <xdr:cNvPr id="15" name="水平線22">
          <a:extLst>
            <a:ext uri="{FF2B5EF4-FFF2-40B4-BE49-F238E27FC236}">
              <a16:creationId xmlns:a16="http://schemas.microsoft.com/office/drawing/2014/main" id="{1D137512-5D29-49A6-B53A-5016E06132C4}"/>
            </a:ext>
          </a:extLst>
        </xdr:cNvPr>
        <xdr:cNvSpPr>
          <a:spLocks noChangeShapeType="1"/>
        </xdr:cNvSpPr>
      </xdr:nvSpPr>
      <xdr:spPr bwMode="auto">
        <a:xfrm rot="21300000">
          <a:off x="9010650" y="3855720"/>
          <a:ext cx="5524500" cy="0"/>
        </a:xfrm>
        <a:prstGeom prst="line">
          <a:avLst/>
        </a:prstGeom>
        <a:noFill/>
        <a:ln w="9525">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oneCellAnchor>
  <xdr:twoCellAnchor>
    <xdr:from>
      <xdr:col>6</xdr:col>
      <xdr:colOff>428169</xdr:colOff>
      <xdr:row>27</xdr:row>
      <xdr:rowOff>53541</xdr:rowOff>
    </xdr:from>
    <xdr:to>
      <xdr:col>7</xdr:col>
      <xdr:colOff>143216</xdr:colOff>
      <xdr:row>27</xdr:row>
      <xdr:rowOff>238125</xdr:rowOff>
    </xdr:to>
    <xdr:sp macro="" textlink="">
      <xdr:nvSpPr>
        <xdr:cNvPr id="16" name="Text Box 13">
          <a:extLst>
            <a:ext uri="{FF2B5EF4-FFF2-40B4-BE49-F238E27FC236}">
              <a16:creationId xmlns:a16="http://schemas.microsoft.com/office/drawing/2014/main" id="{3170C634-6A48-42D1-AC23-FCAE621A7697}"/>
            </a:ext>
          </a:extLst>
        </xdr:cNvPr>
        <xdr:cNvSpPr txBox="1">
          <a:spLocks noChangeArrowheads="1"/>
        </xdr:cNvSpPr>
      </xdr:nvSpPr>
      <xdr:spPr bwMode="auto">
        <a:xfrm>
          <a:off x="3800019" y="6892491"/>
          <a:ext cx="267497" cy="1845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南</a:t>
          </a:r>
          <a:endParaRPr lang="ja-JP" altLang="en-US" sz="1200"/>
        </a:p>
      </xdr:txBody>
    </xdr:sp>
    <xdr:clientData/>
  </xdr:twoCellAnchor>
  <xdr:twoCellAnchor>
    <xdr:from>
      <xdr:col>12</xdr:col>
      <xdr:colOff>257813</xdr:colOff>
      <xdr:row>14</xdr:row>
      <xdr:rowOff>142852</xdr:rowOff>
    </xdr:from>
    <xdr:to>
      <xdr:col>12</xdr:col>
      <xdr:colOff>523875</xdr:colOff>
      <xdr:row>15</xdr:row>
      <xdr:rowOff>74702</xdr:rowOff>
    </xdr:to>
    <xdr:sp macro="" textlink="">
      <xdr:nvSpPr>
        <xdr:cNvPr id="17" name="Text Box 14">
          <a:extLst>
            <a:ext uri="{FF2B5EF4-FFF2-40B4-BE49-F238E27FC236}">
              <a16:creationId xmlns:a16="http://schemas.microsoft.com/office/drawing/2014/main" id="{0C949B96-5933-4DEF-8E0F-40112974E706}"/>
            </a:ext>
          </a:extLst>
        </xdr:cNvPr>
        <xdr:cNvSpPr txBox="1">
          <a:spLocks noChangeArrowheads="1"/>
        </xdr:cNvSpPr>
      </xdr:nvSpPr>
      <xdr:spPr bwMode="auto">
        <a:xfrm>
          <a:off x="6944363" y="3762352"/>
          <a:ext cx="266062" cy="179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東</a:t>
          </a:r>
          <a:endParaRPr lang="ja-JP" altLang="en-US" sz="1200"/>
        </a:p>
      </xdr:txBody>
    </xdr:sp>
    <xdr:clientData/>
  </xdr:twoCellAnchor>
  <xdr:twoCellAnchor>
    <xdr:from>
      <xdr:col>1</xdr:col>
      <xdr:colOff>0</xdr:colOff>
      <xdr:row>14</xdr:row>
      <xdr:rowOff>162282</xdr:rowOff>
    </xdr:from>
    <xdr:to>
      <xdr:col>1</xdr:col>
      <xdr:colOff>266062</xdr:colOff>
      <xdr:row>15</xdr:row>
      <xdr:rowOff>94132</xdr:rowOff>
    </xdr:to>
    <xdr:sp macro="" textlink="">
      <xdr:nvSpPr>
        <xdr:cNvPr id="18" name="Text Box 15">
          <a:extLst>
            <a:ext uri="{FF2B5EF4-FFF2-40B4-BE49-F238E27FC236}">
              <a16:creationId xmlns:a16="http://schemas.microsoft.com/office/drawing/2014/main" id="{48BF0162-BA90-447B-9BF4-4BD08F617970}"/>
            </a:ext>
          </a:extLst>
        </xdr:cNvPr>
        <xdr:cNvSpPr txBox="1">
          <a:spLocks noChangeArrowheads="1"/>
        </xdr:cNvSpPr>
      </xdr:nvSpPr>
      <xdr:spPr bwMode="auto">
        <a:xfrm>
          <a:off x="609600" y="3781782"/>
          <a:ext cx="266062" cy="179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西</a:t>
          </a:r>
          <a:endParaRPr lang="ja-JP" altLang="en-US" sz="1200"/>
        </a:p>
      </xdr:txBody>
    </xdr:sp>
    <xdr:clientData/>
  </xdr:twoCellAnchor>
  <xdr:twoCellAnchor>
    <xdr:from>
      <xdr:col>6</xdr:col>
      <xdr:colOff>407264</xdr:colOff>
      <xdr:row>2</xdr:row>
      <xdr:rowOff>57150</xdr:rowOff>
    </xdr:from>
    <xdr:to>
      <xdr:col>7</xdr:col>
      <xdr:colOff>141316</xdr:colOff>
      <xdr:row>2</xdr:row>
      <xdr:rowOff>241734</xdr:rowOff>
    </xdr:to>
    <xdr:sp macro="" textlink="">
      <xdr:nvSpPr>
        <xdr:cNvPr id="19" name="Text Box 16">
          <a:extLst>
            <a:ext uri="{FF2B5EF4-FFF2-40B4-BE49-F238E27FC236}">
              <a16:creationId xmlns:a16="http://schemas.microsoft.com/office/drawing/2014/main" id="{A3B4AF73-DC5E-48D7-B1F4-3ABFF28E921E}"/>
            </a:ext>
          </a:extLst>
        </xdr:cNvPr>
        <xdr:cNvSpPr txBox="1">
          <a:spLocks noChangeArrowheads="1"/>
        </xdr:cNvSpPr>
      </xdr:nvSpPr>
      <xdr:spPr bwMode="auto">
        <a:xfrm>
          <a:off x="3779114" y="704850"/>
          <a:ext cx="286502" cy="1845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北</a:t>
          </a:r>
          <a:endParaRPr lang="ja-JP" altLang="en-US" sz="1200"/>
        </a:p>
      </xdr:txBody>
    </xdr:sp>
    <xdr:clientData/>
  </xdr:twoCellAnchor>
  <xdr:twoCellAnchor>
    <xdr:from>
      <xdr:col>6</xdr:col>
      <xdr:colOff>442423</xdr:colOff>
      <xdr:row>2</xdr:row>
      <xdr:rowOff>241734</xdr:rowOff>
    </xdr:from>
    <xdr:to>
      <xdr:col>7</xdr:col>
      <xdr:colOff>683</xdr:colOff>
      <xdr:row>4</xdr:row>
      <xdr:rowOff>124865</xdr:rowOff>
    </xdr:to>
    <xdr:cxnSp macro="">
      <xdr:nvCxnSpPr>
        <xdr:cNvPr id="20" name="直線コネクタ 19">
          <a:extLst>
            <a:ext uri="{FF2B5EF4-FFF2-40B4-BE49-F238E27FC236}">
              <a16:creationId xmlns:a16="http://schemas.microsoft.com/office/drawing/2014/main" id="{C33297D9-35F9-4029-AC98-715D1D1EC2B3}"/>
            </a:ext>
          </a:extLst>
        </xdr:cNvPr>
        <xdr:cNvCxnSpPr/>
      </xdr:nvCxnSpPr>
      <xdr:spPr bwMode="auto">
        <a:xfrm flipH="1">
          <a:off x="3814273" y="889434"/>
          <a:ext cx="110710" cy="378431"/>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444798</xdr:colOff>
      <xdr:row>4</xdr:row>
      <xdr:rowOff>120008</xdr:rowOff>
    </xdr:from>
    <xdr:to>
      <xdr:col>7</xdr:col>
      <xdr:colOff>5435</xdr:colOff>
      <xdr:row>4</xdr:row>
      <xdr:rowOff>214728</xdr:rowOff>
    </xdr:to>
    <xdr:cxnSp macro="">
      <xdr:nvCxnSpPr>
        <xdr:cNvPr id="21" name="直線コネクタ 20">
          <a:extLst>
            <a:ext uri="{FF2B5EF4-FFF2-40B4-BE49-F238E27FC236}">
              <a16:creationId xmlns:a16="http://schemas.microsoft.com/office/drawing/2014/main" id="{83D05365-74A0-4A00-807A-B3E4AE9C2FF4}"/>
            </a:ext>
          </a:extLst>
        </xdr:cNvPr>
        <xdr:cNvCxnSpPr/>
      </xdr:nvCxnSpPr>
      <xdr:spPr bwMode="auto">
        <a:xfrm>
          <a:off x="3816648" y="1263008"/>
          <a:ext cx="113087" cy="9472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228053</xdr:colOff>
      <xdr:row>14</xdr:row>
      <xdr:rowOff>248097</xdr:rowOff>
    </xdr:from>
    <xdr:to>
      <xdr:col>12</xdr:col>
      <xdr:colOff>286320</xdr:colOff>
      <xdr:row>14</xdr:row>
      <xdr:rowOff>248097</xdr:rowOff>
    </xdr:to>
    <xdr:sp macro="" textlink="">
      <xdr:nvSpPr>
        <xdr:cNvPr id="22" name="水平線1">
          <a:extLst>
            <a:ext uri="{FF2B5EF4-FFF2-40B4-BE49-F238E27FC236}">
              <a16:creationId xmlns:a16="http://schemas.microsoft.com/office/drawing/2014/main" id="{A4A27DB4-A637-4A81-9216-7782740D5BAB}"/>
            </a:ext>
          </a:extLst>
        </xdr:cNvPr>
        <xdr:cNvSpPr>
          <a:spLocks noChangeShapeType="1"/>
        </xdr:cNvSpPr>
      </xdr:nvSpPr>
      <xdr:spPr bwMode="auto">
        <a:xfrm>
          <a:off x="837653" y="3867597"/>
          <a:ext cx="6135217"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684</xdr:colOff>
      <xdr:row>2</xdr:row>
      <xdr:rowOff>249829</xdr:rowOff>
    </xdr:from>
    <xdr:to>
      <xdr:col>7</xdr:col>
      <xdr:colOff>684</xdr:colOff>
      <xdr:row>26</xdr:row>
      <xdr:rowOff>246364</xdr:rowOff>
    </xdr:to>
    <xdr:sp macro="" textlink="">
      <xdr:nvSpPr>
        <xdr:cNvPr id="23" name="垂直線1">
          <a:extLst>
            <a:ext uri="{FF2B5EF4-FFF2-40B4-BE49-F238E27FC236}">
              <a16:creationId xmlns:a16="http://schemas.microsoft.com/office/drawing/2014/main" id="{0AE4A91B-F0DE-489E-B4B6-4C48A0D3545B}"/>
            </a:ext>
          </a:extLst>
        </xdr:cNvPr>
        <xdr:cNvSpPr>
          <a:spLocks noChangeShapeType="1"/>
        </xdr:cNvSpPr>
      </xdr:nvSpPr>
      <xdr:spPr bwMode="auto">
        <a:xfrm>
          <a:off x="3924984" y="897529"/>
          <a:ext cx="0" cy="5940135"/>
        </a:xfrm>
        <a:prstGeom prst="line">
          <a:avLst/>
        </a:prstGeom>
        <a:noFill/>
        <a:ln w="19050" cap="rnd">
          <a:solidFill>
            <a:srgbClr xmlns:mc="http://schemas.openxmlformats.org/markup-compatibility/2006" xmlns:a14="http://schemas.microsoft.com/office/drawing/2010/main" val="000000" mc:Ignorable="a14" a14:legacySpreadsheetColorIndex="64"/>
          </a:solidFill>
          <a:miter lim="800000"/>
          <a:headEnd type="none" w="med" len="lg"/>
          <a:tailEnd type="none"/>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373675</xdr:colOff>
      <xdr:row>27</xdr:row>
      <xdr:rowOff>44016</xdr:rowOff>
    </xdr:from>
    <xdr:to>
      <xdr:col>21</xdr:col>
      <xdr:colOff>88581</xdr:colOff>
      <xdr:row>27</xdr:row>
      <xdr:rowOff>228600</xdr:rowOff>
    </xdr:to>
    <xdr:sp macro="" textlink="">
      <xdr:nvSpPr>
        <xdr:cNvPr id="24" name="Text Box 13">
          <a:extLst>
            <a:ext uri="{FF2B5EF4-FFF2-40B4-BE49-F238E27FC236}">
              <a16:creationId xmlns:a16="http://schemas.microsoft.com/office/drawing/2014/main" id="{047AB212-A602-408C-83F9-A34B854FC7A3}"/>
            </a:ext>
          </a:extLst>
        </xdr:cNvPr>
        <xdr:cNvSpPr txBox="1">
          <a:spLocks noChangeArrowheads="1"/>
        </xdr:cNvSpPr>
      </xdr:nvSpPr>
      <xdr:spPr bwMode="auto">
        <a:xfrm>
          <a:off x="11594125" y="6882966"/>
          <a:ext cx="267356" cy="1845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南</a:t>
          </a:r>
          <a:endParaRPr lang="ja-JP" altLang="en-US" sz="1200"/>
        </a:p>
      </xdr:txBody>
    </xdr:sp>
    <xdr:clientData/>
  </xdr:twoCellAnchor>
  <xdr:twoCellAnchor>
    <xdr:from>
      <xdr:col>26</xdr:col>
      <xdr:colOff>201668</xdr:colOff>
      <xdr:row>14</xdr:row>
      <xdr:rowOff>133327</xdr:rowOff>
    </xdr:from>
    <xdr:to>
      <xdr:col>26</xdr:col>
      <xdr:colOff>467591</xdr:colOff>
      <xdr:row>15</xdr:row>
      <xdr:rowOff>65177</xdr:rowOff>
    </xdr:to>
    <xdr:sp macro="" textlink="">
      <xdr:nvSpPr>
        <xdr:cNvPr id="25" name="Text Box 14">
          <a:extLst>
            <a:ext uri="{FF2B5EF4-FFF2-40B4-BE49-F238E27FC236}">
              <a16:creationId xmlns:a16="http://schemas.microsoft.com/office/drawing/2014/main" id="{541FBDB4-5DD1-473D-B22E-5E0C73A55540}"/>
            </a:ext>
          </a:extLst>
        </xdr:cNvPr>
        <xdr:cNvSpPr txBox="1">
          <a:spLocks noChangeArrowheads="1"/>
        </xdr:cNvSpPr>
      </xdr:nvSpPr>
      <xdr:spPr bwMode="auto">
        <a:xfrm>
          <a:off x="14736818" y="3752827"/>
          <a:ext cx="265923" cy="179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東</a:t>
          </a:r>
          <a:endParaRPr lang="ja-JP" altLang="en-US" sz="1200"/>
        </a:p>
      </xdr:txBody>
    </xdr:sp>
    <xdr:clientData/>
  </xdr:twoCellAnchor>
  <xdr:twoCellAnchor>
    <xdr:from>
      <xdr:col>14</xdr:col>
      <xdr:colOff>553316</xdr:colOff>
      <xdr:row>14</xdr:row>
      <xdr:rowOff>152757</xdr:rowOff>
    </xdr:from>
    <xdr:to>
      <xdr:col>15</xdr:col>
      <xdr:colOff>213103</xdr:colOff>
      <xdr:row>15</xdr:row>
      <xdr:rowOff>84607</xdr:rowOff>
    </xdr:to>
    <xdr:sp macro="" textlink="">
      <xdr:nvSpPr>
        <xdr:cNvPr id="26" name="Text Box 15">
          <a:extLst>
            <a:ext uri="{FF2B5EF4-FFF2-40B4-BE49-F238E27FC236}">
              <a16:creationId xmlns:a16="http://schemas.microsoft.com/office/drawing/2014/main" id="{21304C36-AC0E-46DE-AF89-DBC71A319AE1}"/>
            </a:ext>
          </a:extLst>
        </xdr:cNvPr>
        <xdr:cNvSpPr txBox="1">
          <a:spLocks noChangeArrowheads="1"/>
        </xdr:cNvSpPr>
      </xdr:nvSpPr>
      <xdr:spPr bwMode="auto">
        <a:xfrm>
          <a:off x="8401916" y="3772257"/>
          <a:ext cx="269387" cy="1795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西</a:t>
          </a:r>
          <a:endParaRPr lang="ja-JP" altLang="en-US" sz="1200"/>
        </a:p>
      </xdr:txBody>
    </xdr:sp>
    <xdr:clientData/>
  </xdr:twoCellAnchor>
  <xdr:twoCellAnchor>
    <xdr:from>
      <xdr:col>20</xdr:col>
      <xdr:colOff>352781</xdr:colOff>
      <xdr:row>2</xdr:row>
      <xdr:rowOff>47625</xdr:rowOff>
    </xdr:from>
    <xdr:to>
      <xdr:col>21</xdr:col>
      <xdr:colOff>86682</xdr:colOff>
      <xdr:row>2</xdr:row>
      <xdr:rowOff>232209</xdr:rowOff>
    </xdr:to>
    <xdr:sp macro="" textlink="">
      <xdr:nvSpPr>
        <xdr:cNvPr id="27" name="Text Box 16">
          <a:extLst>
            <a:ext uri="{FF2B5EF4-FFF2-40B4-BE49-F238E27FC236}">
              <a16:creationId xmlns:a16="http://schemas.microsoft.com/office/drawing/2014/main" id="{23000F15-1F61-4898-804C-D773719594FC}"/>
            </a:ext>
          </a:extLst>
        </xdr:cNvPr>
        <xdr:cNvSpPr txBox="1">
          <a:spLocks noChangeArrowheads="1"/>
        </xdr:cNvSpPr>
      </xdr:nvSpPr>
      <xdr:spPr bwMode="auto">
        <a:xfrm>
          <a:off x="11573231" y="695325"/>
          <a:ext cx="286351" cy="18458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北</a:t>
          </a:r>
          <a:endParaRPr lang="ja-JP" altLang="en-US" sz="1200"/>
        </a:p>
      </xdr:txBody>
    </xdr:sp>
    <xdr:clientData/>
  </xdr:twoCellAnchor>
  <xdr:twoCellAnchor>
    <xdr:from>
      <xdr:col>20</xdr:col>
      <xdr:colOff>387922</xdr:colOff>
      <xdr:row>2</xdr:row>
      <xdr:rowOff>232209</xdr:rowOff>
    </xdr:from>
    <xdr:to>
      <xdr:col>20</xdr:col>
      <xdr:colOff>500306</xdr:colOff>
      <xdr:row>4</xdr:row>
      <xdr:rowOff>115340</xdr:rowOff>
    </xdr:to>
    <xdr:cxnSp macro="">
      <xdr:nvCxnSpPr>
        <xdr:cNvPr id="28" name="直線コネクタ 27">
          <a:extLst>
            <a:ext uri="{FF2B5EF4-FFF2-40B4-BE49-F238E27FC236}">
              <a16:creationId xmlns:a16="http://schemas.microsoft.com/office/drawing/2014/main" id="{63BA44A8-B495-4F05-92B9-F0FC760B6255}"/>
            </a:ext>
          </a:extLst>
        </xdr:cNvPr>
        <xdr:cNvCxnSpPr/>
      </xdr:nvCxnSpPr>
      <xdr:spPr bwMode="auto">
        <a:xfrm flipH="1">
          <a:off x="11608372" y="879909"/>
          <a:ext cx="112384" cy="378431"/>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20</xdr:col>
      <xdr:colOff>390296</xdr:colOff>
      <xdr:row>4</xdr:row>
      <xdr:rowOff>110483</xdr:rowOff>
    </xdr:from>
    <xdr:to>
      <xdr:col>20</xdr:col>
      <xdr:colOff>505055</xdr:colOff>
      <xdr:row>4</xdr:row>
      <xdr:rowOff>205203</xdr:rowOff>
    </xdr:to>
    <xdr:cxnSp macro="">
      <xdr:nvCxnSpPr>
        <xdr:cNvPr id="29" name="直線コネクタ 28">
          <a:extLst>
            <a:ext uri="{FF2B5EF4-FFF2-40B4-BE49-F238E27FC236}">
              <a16:creationId xmlns:a16="http://schemas.microsoft.com/office/drawing/2014/main" id="{E3A5AAD1-D7CD-4B4B-8FDB-80538ADEC949}"/>
            </a:ext>
          </a:extLst>
        </xdr:cNvPr>
        <xdr:cNvCxnSpPr/>
      </xdr:nvCxnSpPr>
      <xdr:spPr bwMode="auto">
        <a:xfrm>
          <a:off x="11610746" y="1253483"/>
          <a:ext cx="114759" cy="9472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175114</xdr:colOff>
      <xdr:row>14</xdr:row>
      <xdr:rowOff>238572</xdr:rowOff>
    </xdr:from>
    <xdr:to>
      <xdr:col>26</xdr:col>
      <xdr:colOff>230160</xdr:colOff>
      <xdr:row>14</xdr:row>
      <xdr:rowOff>238572</xdr:rowOff>
    </xdr:to>
    <xdr:sp macro="" textlink="">
      <xdr:nvSpPr>
        <xdr:cNvPr id="30" name="水平線1">
          <a:extLst>
            <a:ext uri="{FF2B5EF4-FFF2-40B4-BE49-F238E27FC236}">
              <a16:creationId xmlns:a16="http://schemas.microsoft.com/office/drawing/2014/main" id="{B52089DA-A29E-4025-8E87-2F8AD48723F0}"/>
            </a:ext>
          </a:extLst>
        </xdr:cNvPr>
        <xdr:cNvSpPr>
          <a:spLocks noChangeShapeType="1"/>
        </xdr:cNvSpPr>
      </xdr:nvSpPr>
      <xdr:spPr bwMode="auto">
        <a:xfrm>
          <a:off x="8633314" y="3858072"/>
          <a:ext cx="6131996"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500305</xdr:colOff>
      <xdr:row>2</xdr:row>
      <xdr:rowOff>240304</xdr:rowOff>
    </xdr:from>
    <xdr:to>
      <xdr:col>20</xdr:col>
      <xdr:colOff>500305</xdr:colOff>
      <xdr:row>26</xdr:row>
      <xdr:rowOff>236839</xdr:rowOff>
    </xdr:to>
    <xdr:sp macro="" textlink="">
      <xdr:nvSpPr>
        <xdr:cNvPr id="31" name="垂直線1">
          <a:extLst>
            <a:ext uri="{FF2B5EF4-FFF2-40B4-BE49-F238E27FC236}">
              <a16:creationId xmlns:a16="http://schemas.microsoft.com/office/drawing/2014/main" id="{85B5AE98-868B-476D-902D-D248ADBD38C1}"/>
            </a:ext>
          </a:extLst>
        </xdr:cNvPr>
        <xdr:cNvSpPr>
          <a:spLocks noChangeShapeType="1"/>
        </xdr:cNvSpPr>
      </xdr:nvSpPr>
      <xdr:spPr bwMode="auto">
        <a:xfrm>
          <a:off x="11720755" y="888004"/>
          <a:ext cx="0" cy="5940135"/>
        </a:xfrm>
        <a:prstGeom prst="line">
          <a:avLst/>
        </a:prstGeom>
        <a:noFill/>
        <a:ln w="19050" cap="rnd">
          <a:solidFill>
            <a:srgbClr xmlns:mc="http://schemas.openxmlformats.org/markup-compatibility/2006" xmlns:a14="http://schemas.microsoft.com/office/drawing/2010/main" val="000000" mc:Ignorable="a14" a14:legacySpreadsheetColorIndex="64"/>
          </a:solidFill>
          <a:miter lim="800000"/>
          <a:headEnd type="none" w="med" len="lg"/>
          <a:tailEnd type="none"/>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25</xdr:col>
      <xdr:colOff>200417</xdr:colOff>
      <xdr:row>13</xdr:row>
      <xdr:rowOff>789</xdr:rowOff>
    </xdr:from>
    <xdr:ext cx="400050" cy="174914"/>
    <xdr:sp macro="" textlink="">
      <xdr:nvSpPr>
        <xdr:cNvPr id="32" name="東面2">
          <a:extLst>
            <a:ext uri="{FF2B5EF4-FFF2-40B4-BE49-F238E27FC236}">
              <a16:creationId xmlns:a16="http://schemas.microsoft.com/office/drawing/2014/main" id="{0AD4DA08-AD69-4D1C-A155-2FF23F0DA056}"/>
            </a:ext>
          </a:extLst>
        </xdr:cNvPr>
        <xdr:cNvSpPr txBox="1">
          <a:spLocks noChangeArrowheads="1"/>
        </xdr:cNvSpPr>
      </xdr:nvSpPr>
      <xdr:spPr bwMode="auto">
        <a:xfrm>
          <a:off x="14183117" y="3372639"/>
          <a:ext cx="400050" cy="17491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en-US" altLang="ja-JP" sz="1200" b="1" i="0" u="none" strike="noStrike" baseline="0">
              <a:solidFill>
                <a:srgbClr val="000000"/>
              </a:solidFill>
              <a:latin typeface="ＭＳ Ｐゴシック"/>
              <a:ea typeface="ＭＳ Ｐゴシック"/>
            </a:rPr>
            <a:t>E</a:t>
          </a:r>
          <a:endParaRPr lang="ja-JP" altLang="en-US" sz="1200" b="1"/>
        </a:p>
      </xdr:txBody>
    </xdr:sp>
    <xdr:clientData/>
  </xdr:oneCellAnchor>
  <xdr:twoCellAnchor>
    <xdr:from>
      <xdr:col>7</xdr:col>
      <xdr:colOff>6927</xdr:colOff>
      <xdr:row>19</xdr:row>
      <xdr:rowOff>155894</xdr:rowOff>
    </xdr:from>
    <xdr:to>
      <xdr:col>7</xdr:col>
      <xdr:colOff>105415</xdr:colOff>
      <xdr:row>19</xdr:row>
      <xdr:rowOff>160194</xdr:rowOff>
    </xdr:to>
    <xdr:sp macro="" textlink="">
      <xdr:nvSpPr>
        <xdr:cNvPr id="33" name="フリーフォーム: 図形 32">
          <a:extLst>
            <a:ext uri="{FF2B5EF4-FFF2-40B4-BE49-F238E27FC236}">
              <a16:creationId xmlns:a16="http://schemas.microsoft.com/office/drawing/2014/main" id="{EE801B99-7173-4FD3-8305-F981504A94A1}"/>
            </a:ext>
          </a:extLst>
        </xdr:cNvPr>
        <xdr:cNvSpPr/>
      </xdr:nvSpPr>
      <xdr:spPr>
        <a:xfrm>
          <a:off x="3931227" y="5013644"/>
          <a:ext cx="98488" cy="4300"/>
        </a:xfrm>
        <a:custGeom>
          <a:avLst/>
          <a:gdLst/>
          <a:ahLst/>
          <a:cxnLst/>
          <a:rect l="0" t="0" r="0" b="0"/>
          <a:pathLst>
            <a:path w="98488" h="4300">
              <a:moveTo>
                <a:pt x="0" y="4299"/>
              </a:moveTo>
              <a:cubicBezTo>
                <a:pt x="98487" y="0"/>
                <a:pt x="98487" y="0"/>
                <a:pt x="98487"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31635</xdr:colOff>
      <xdr:row>18</xdr:row>
      <xdr:rowOff>25738</xdr:rowOff>
    </xdr:from>
    <xdr:to>
      <xdr:col>7</xdr:col>
      <xdr:colOff>198869</xdr:colOff>
      <xdr:row>19</xdr:row>
      <xdr:rowOff>84967</xdr:rowOff>
    </xdr:to>
    <xdr:sp macro="" textlink="">
      <xdr:nvSpPr>
        <xdr:cNvPr id="34" name="テキスト ボックス 33">
          <a:extLst>
            <a:ext uri="{FF2B5EF4-FFF2-40B4-BE49-F238E27FC236}">
              <a16:creationId xmlns:a16="http://schemas.microsoft.com/office/drawing/2014/main" id="{26BF5592-A53D-4B03-8995-97B07D1B0AC9}"/>
            </a:ext>
          </a:extLst>
        </xdr:cNvPr>
        <xdr:cNvSpPr txBox="1"/>
      </xdr:nvSpPr>
      <xdr:spPr>
        <a:xfrm>
          <a:off x="3403485" y="4635838"/>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α=-5[°]</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7</xdr:col>
      <xdr:colOff>6927</xdr:colOff>
      <xdr:row>14</xdr:row>
      <xdr:rowOff>159002</xdr:rowOff>
    </xdr:from>
    <xdr:to>
      <xdr:col>9</xdr:col>
      <xdr:colOff>157597</xdr:colOff>
      <xdr:row>20</xdr:row>
      <xdr:rowOff>38101</xdr:rowOff>
    </xdr:to>
    <xdr:sp macro="" textlink="">
      <xdr:nvSpPr>
        <xdr:cNvPr id="35" name="フリーフォーム: 図形 34">
          <a:extLst>
            <a:ext uri="{FF2B5EF4-FFF2-40B4-BE49-F238E27FC236}">
              <a16:creationId xmlns:a16="http://schemas.microsoft.com/office/drawing/2014/main" id="{EC44EB9C-E10D-4CF1-905B-0764A4702BE3}"/>
            </a:ext>
          </a:extLst>
        </xdr:cNvPr>
        <xdr:cNvSpPr/>
      </xdr:nvSpPr>
      <xdr:spPr>
        <a:xfrm>
          <a:off x="3931227" y="3778502"/>
          <a:ext cx="1255570" cy="1364999"/>
        </a:xfrm>
        <a:custGeom>
          <a:avLst/>
          <a:gdLst/>
          <a:ahLst/>
          <a:cxnLst/>
          <a:rect l="0" t="0" r="0" b="0"/>
          <a:pathLst>
            <a:path w="1255570" h="1364999">
              <a:moveTo>
                <a:pt x="0" y="1364998"/>
              </a:moveTo>
              <a:cubicBezTo>
                <a:pt x="109431" y="1360220"/>
                <a:pt x="109431" y="1360220"/>
                <a:pt x="109431" y="1360220"/>
              </a:cubicBezTo>
              <a:cubicBezTo>
                <a:pt x="218027" y="1345924"/>
                <a:pt x="218027" y="1345924"/>
                <a:pt x="218027" y="1345924"/>
              </a:cubicBezTo>
              <a:cubicBezTo>
                <a:pt x="324966" y="1322216"/>
                <a:pt x="324966" y="1322216"/>
                <a:pt x="324966" y="1322216"/>
              </a:cubicBezTo>
              <a:cubicBezTo>
                <a:pt x="429430" y="1289278"/>
                <a:pt x="429430" y="1289278"/>
                <a:pt x="429430" y="1289278"/>
              </a:cubicBezTo>
              <a:cubicBezTo>
                <a:pt x="530627" y="1247361"/>
                <a:pt x="530627" y="1247361"/>
                <a:pt x="530627" y="1247361"/>
              </a:cubicBezTo>
              <a:cubicBezTo>
                <a:pt x="627785" y="1196784"/>
                <a:pt x="627785" y="1196784"/>
                <a:pt x="627785" y="1196784"/>
              </a:cubicBezTo>
              <a:cubicBezTo>
                <a:pt x="720165" y="1137932"/>
                <a:pt x="720165" y="1137932"/>
                <a:pt x="720165" y="1137932"/>
              </a:cubicBezTo>
              <a:cubicBezTo>
                <a:pt x="807064" y="1071251"/>
                <a:pt x="807064" y="1071251"/>
                <a:pt x="807064" y="1071251"/>
              </a:cubicBezTo>
              <a:cubicBezTo>
                <a:pt x="887821" y="997251"/>
                <a:pt x="887821" y="997251"/>
                <a:pt x="887821" y="997251"/>
              </a:cubicBezTo>
              <a:cubicBezTo>
                <a:pt x="961822" y="916494"/>
                <a:pt x="961822" y="916494"/>
                <a:pt x="961822" y="916494"/>
              </a:cubicBezTo>
              <a:cubicBezTo>
                <a:pt x="1028502" y="829595"/>
                <a:pt x="1028502" y="829595"/>
                <a:pt x="1028502" y="829595"/>
              </a:cubicBezTo>
              <a:cubicBezTo>
                <a:pt x="1087354" y="737215"/>
                <a:pt x="1087354" y="737215"/>
                <a:pt x="1087354" y="737215"/>
              </a:cubicBezTo>
              <a:cubicBezTo>
                <a:pt x="1137932" y="640057"/>
                <a:pt x="1137932" y="640057"/>
                <a:pt x="1137932" y="640057"/>
              </a:cubicBezTo>
              <a:cubicBezTo>
                <a:pt x="1179849" y="538860"/>
                <a:pt x="1179849" y="538860"/>
                <a:pt x="1179849" y="538860"/>
              </a:cubicBezTo>
              <a:cubicBezTo>
                <a:pt x="1212786" y="434396"/>
                <a:pt x="1212786" y="434396"/>
                <a:pt x="1212786" y="434396"/>
              </a:cubicBezTo>
              <a:cubicBezTo>
                <a:pt x="1236494" y="327457"/>
                <a:pt x="1236494" y="327457"/>
                <a:pt x="1236494" y="327457"/>
              </a:cubicBezTo>
              <a:cubicBezTo>
                <a:pt x="1250791" y="218861"/>
                <a:pt x="1250791" y="218861"/>
                <a:pt x="1250791" y="218861"/>
              </a:cubicBezTo>
              <a:cubicBezTo>
                <a:pt x="1255569" y="109430"/>
                <a:pt x="1255569" y="109430"/>
                <a:pt x="1255569" y="109430"/>
              </a:cubicBezTo>
              <a:cubicBezTo>
                <a:pt x="1250791" y="0"/>
                <a:pt x="1250791" y="0"/>
                <a:pt x="1250791" y="0"/>
              </a:cubicBezTo>
              <a:cubicBezTo>
                <a:pt x="1250791" y="0"/>
                <a:pt x="1250791" y="0"/>
                <a:pt x="1250791"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293331</xdr:colOff>
      <xdr:row>17</xdr:row>
      <xdr:rowOff>119581</xdr:rowOff>
    </xdr:from>
    <xdr:to>
      <xdr:col>8</xdr:col>
      <xdr:colOff>524685</xdr:colOff>
      <xdr:row>18</xdr:row>
      <xdr:rowOff>178810</xdr:rowOff>
    </xdr:to>
    <xdr:sp macro="" textlink="">
      <xdr:nvSpPr>
        <xdr:cNvPr id="36" name="テキスト ボックス 35">
          <a:extLst>
            <a:ext uri="{FF2B5EF4-FFF2-40B4-BE49-F238E27FC236}">
              <a16:creationId xmlns:a16="http://schemas.microsoft.com/office/drawing/2014/main" id="{97EED1EB-A369-4F0A-A10D-0F65A9F8A730}"/>
            </a:ext>
          </a:extLst>
        </xdr:cNvPr>
        <xdr:cNvSpPr txBox="1"/>
      </xdr:nvSpPr>
      <xdr:spPr>
        <a:xfrm>
          <a:off x="4217631" y="4482031"/>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α=-95[°]</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4</xdr:col>
      <xdr:colOff>363455</xdr:colOff>
      <xdr:row>15</xdr:row>
      <xdr:rowOff>134589</xdr:rowOff>
    </xdr:from>
    <xdr:to>
      <xdr:col>7</xdr:col>
      <xdr:colOff>6928</xdr:colOff>
      <xdr:row>20</xdr:row>
      <xdr:rowOff>88324</xdr:rowOff>
    </xdr:to>
    <xdr:sp macro="" textlink="">
      <xdr:nvSpPr>
        <xdr:cNvPr id="37" name="フリーフォーム: 図形 36">
          <a:extLst>
            <a:ext uri="{FF2B5EF4-FFF2-40B4-BE49-F238E27FC236}">
              <a16:creationId xmlns:a16="http://schemas.microsoft.com/office/drawing/2014/main" id="{47CEE5B5-DF59-441A-948F-4758D932279F}"/>
            </a:ext>
          </a:extLst>
        </xdr:cNvPr>
        <xdr:cNvSpPr/>
      </xdr:nvSpPr>
      <xdr:spPr>
        <a:xfrm>
          <a:off x="2630405" y="4001739"/>
          <a:ext cx="1300823" cy="1191985"/>
        </a:xfrm>
        <a:custGeom>
          <a:avLst/>
          <a:gdLst/>
          <a:ahLst/>
          <a:cxnLst/>
          <a:rect l="0" t="0" r="0" b="0"/>
          <a:pathLst>
            <a:path w="1300823" h="1191985">
              <a:moveTo>
                <a:pt x="0" y="0"/>
              </a:moveTo>
              <a:cubicBezTo>
                <a:pt x="14869" y="112941"/>
                <a:pt x="14869" y="112941"/>
                <a:pt x="14869" y="112941"/>
              </a:cubicBezTo>
              <a:cubicBezTo>
                <a:pt x="39525" y="224157"/>
                <a:pt x="39525" y="224157"/>
                <a:pt x="39525" y="224157"/>
              </a:cubicBezTo>
              <a:cubicBezTo>
                <a:pt x="73780" y="332800"/>
                <a:pt x="73780" y="332800"/>
                <a:pt x="73780" y="332800"/>
              </a:cubicBezTo>
              <a:cubicBezTo>
                <a:pt x="117374" y="438044"/>
                <a:pt x="117374" y="438044"/>
                <a:pt x="117374" y="438044"/>
              </a:cubicBezTo>
              <a:cubicBezTo>
                <a:pt x="169974" y="539088"/>
                <a:pt x="169974" y="539088"/>
                <a:pt x="169974" y="539088"/>
              </a:cubicBezTo>
              <a:cubicBezTo>
                <a:pt x="231181" y="635164"/>
                <a:pt x="231181" y="635164"/>
                <a:pt x="231181" y="635164"/>
              </a:cubicBezTo>
              <a:cubicBezTo>
                <a:pt x="300529" y="725539"/>
                <a:pt x="300529" y="725539"/>
                <a:pt x="300529" y="725539"/>
              </a:cubicBezTo>
              <a:cubicBezTo>
                <a:pt x="377489" y="809527"/>
                <a:pt x="377489" y="809527"/>
                <a:pt x="377489" y="809527"/>
              </a:cubicBezTo>
              <a:cubicBezTo>
                <a:pt x="461476" y="886487"/>
                <a:pt x="461476" y="886487"/>
                <a:pt x="461476" y="886487"/>
              </a:cubicBezTo>
              <a:cubicBezTo>
                <a:pt x="551852" y="955835"/>
                <a:pt x="551852" y="955835"/>
                <a:pt x="551852" y="955835"/>
              </a:cubicBezTo>
              <a:cubicBezTo>
                <a:pt x="647927" y="1017041"/>
                <a:pt x="647927" y="1017041"/>
                <a:pt x="647927" y="1017041"/>
              </a:cubicBezTo>
              <a:cubicBezTo>
                <a:pt x="748971" y="1069642"/>
                <a:pt x="748971" y="1069642"/>
                <a:pt x="748971" y="1069642"/>
              </a:cubicBezTo>
              <a:cubicBezTo>
                <a:pt x="854216" y="1113235"/>
                <a:pt x="854216" y="1113235"/>
                <a:pt x="854216" y="1113235"/>
              </a:cubicBezTo>
              <a:cubicBezTo>
                <a:pt x="962859" y="1147490"/>
                <a:pt x="962859" y="1147490"/>
                <a:pt x="962859" y="1147490"/>
              </a:cubicBezTo>
              <a:cubicBezTo>
                <a:pt x="1074074" y="1172146"/>
                <a:pt x="1074074" y="1172146"/>
                <a:pt x="1074074" y="1172146"/>
              </a:cubicBezTo>
              <a:cubicBezTo>
                <a:pt x="1187015" y="1187015"/>
                <a:pt x="1187015" y="1187015"/>
                <a:pt x="1187015" y="1187015"/>
              </a:cubicBezTo>
              <a:cubicBezTo>
                <a:pt x="1300822" y="1191984"/>
                <a:pt x="1300822" y="1191984"/>
                <a:pt x="1300822" y="1191984"/>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196465</xdr:colOff>
      <xdr:row>17</xdr:row>
      <xdr:rowOff>234061</xdr:rowOff>
    </xdr:from>
    <xdr:to>
      <xdr:col>5</xdr:col>
      <xdr:colOff>363699</xdr:colOff>
      <xdr:row>19</xdr:row>
      <xdr:rowOff>45640</xdr:rowOff>
    </xdr:to>
    <xdr:sp macro="" textlink="">
      <xdr:nvSpPr>
        <xdr:cNvPr id="38" name="テキスト ボックス 37">
          <a:extLst>
            <a:ext uri="{FF2B5EF4-FFF2-40B4-BE49-F238E27FC236}">
              <a16:creationId xmlns:a16="http://schemas.microsoft.com/office/drawing/2014/main" id="{59B99768-5D4F-4E0A-9867-E2432E3A6E17}"/>
            </a:ext>
          </a:extLst>
        </xdr:cNvPr>
        <xdr:cNvSpPr txBox="1"/>
      </xdr:nvSpPr>
      <xdr:spPr>
        <a:xfrm>
          <a:off x="2463415" y="4596511"/>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α=85[°]</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4</xdr:col>
      <xdr:colOff>232930</xdr:colOff>
      <xdr:row>9</xdr:row>
      <xdr:rowOff>80781</xdr:rowOff>
    </xdr:from>
    <xdr:to>
      <xdr:col>7</xdr:col>
      <xdr:colOff>6928</xdr:colOff>
      <xdr:row>20</xdr:row>
      <xdr:rowOff>213881</xdr:rowOff>
    </xdr:to>
    <xdr:sp macro="" textlink="">
      <xdr:nvSpPr>
        <xdr:cNvPr id="39" name="フリーフォーム: 図形 38">
          <a:extLst>
            <a:ext uri="{FF2B5EF4-FFF2-40B4-BE49-F238E27FC236}">
              <a16:creationId xmlns:a16="http://schemas.microsoft.com/office/drawing/2014/main" id="{BA53BF57-C992-49E2-A62C-B28F7C70A30E}"/>
            </a:ext>
          </a:extLst>
        </xdr:cNvPr>
        <xdr:cNvSpPr/>
      </xdr:nvSpPr>
      <xdr:spPr>
        <a:xfrm>
          <a:off x="2499880" y="2462031"/>
          <a:ext cx="1431348" cy="2857250"/>
        </a:xfrm>
        <a:custGeom>
          <a:avLst/>
          <a:gdLst/>
          <a:ahLst/>
          <a:cxnLst/>
          <a:rect l="0" t="0" r="0" b="0"/>
          <a:pathLst>
            <a:path w="1431348" h="2857250">
              <a:moveTo>
                <a:pt x="1306597" y="0"/>
              </a:moveTo>
              <a:cubicBezTo>
                <a:pt x="1182796" y="16299"/>
                <a:pt x="1182796" y="16299"/>
                <a:pt x="1182796" y="16299"/>
              </a:cubicBezTo>
              <a:cubicBezTo>
                <a:pt x="1060888" y="43325"/>
                <a:pt x="1060888" y="43325"/>
                <a:pt x="1060888" y="43325"/>
              </a:cubicBezTo>
              <a:cubicBezTo>
                <a:pt x="941798" y="80874"/>
                <a:pt x="941798" y="80874"/>
                <a:pt x="941798" y="80874"/>
              </a:cubicBezTo>
              <a:cubicBezTo>
                <a:pt x="826434" y="128659"/>
                <a:pt x="826434" y="128659"/>
                <a:pt x="826434" y="128659"/>
              </a:cubicBezTo>
              <a:cubicBezTo>
                <a:pt x="715674" y="186317"/>
                <a:pt x="715674" y="186317"/>
                <a:pt x="715674" y="186317"/>
              </a:cubicBezTo>
              <a:cubicBezTo>
                <a:pt x="610360" y="253409"/>
                <a:pt x="610360" y="253409"/>
                <a:pt x="610360" y="253409"/>
              </a:cubicBezTo>
              <a:cubicBezTo>
                <a:pt x="511295" y="329425"/>
                <a:pt x="511295" y="329425"/>
                <a:pt x="511295" y="329425"/>
              </a:cubicBezTo>
              <a:cubicBezTo>
                <a:pt x="419232" y="413785"/>
                <a:pt x="419232" y="413785"/>
                <a:pt x="419232" y="413785"/>
              </a:cubicBezTo>
              <a:cubicBezTo>
                <a:pt x="334871" y="505848"/>
                <a:pt x="334871" y="505848"/>
                <a:pt x="334871" y="505848"/>
              </a:cubicBezTo>
              <a:cubicBezTo>
                <a:pt x="258856" y="604914"/>
                <a:pt x="258856" y="604914"/>
                <a:pt x="258856" y="604914"/>
              </a:cubicBezTo>
              <a:cubicBezTo>
                <a:pt x="191764" y="710227"/>
                <a:pt x="191764" y="710227"/>
                <a:pt x="191764" y="710227"/>
              </a:cubicBezTo>
              <a:cubicBezTo>
                <a:pt x="134106" y="820987"/>
                <a:pt x="134106" y="820987"/>
                <a:pt x="134106" y="820987"/>
              </a:cubicBezTo>
              <a:cubicBezTo>
                <a:pt x="86320" y="936351"/>
                <a:pt x="86320" y="936351"/>
                <a:pt x="86320" y="936351"/>
              </a:cubicBezTo>
              <a:cubicBezTo>
                <a:pt x="48772" y="1055441"/>
                <a:pt x="48772" y="1055441"/>
                <a:pt x="48772" y="1055441"/>
              </a:cubicBezTo>
              <a:cubicBezTo>
                <a:pt x="21745" y="1177350"/>
                <a:pt x="21745" y="1177350"/>
                <a:pt x="21745" y="1177350"/>
              </a:cubicBezTo>
              <a:cubicBezTo>
                <a:pt x="5446" y="1301151"/>
                <a:pt x="5446" y="1301151"/>
                <a:pt x="5446" y="1301151"/>
              </a:cubicBezTo>
              <a:cubicBezTo>
                <a:pt x="0" y="1425901"/>
                <a:pt x="0" y="1425901"/>
                <a:pt x="0" y="1425901"/>
              </a:cubicBezTo>
              <a:cubicBezTo>
                <a:pt x="5446" y="1550651"/>
                <a:pt x="5446" y="1550651"/>
                <a:pt x="5446" y="1550651"/>
              </a:cubicBezTo>
              <a:cubicBezTo>
                <a:pt x="21745" y="1674452"/>
                <a:pt x="21745" y="1674452"/>
                <a:pt x="21745" y="1674452"/>
              </a:cubicBezTo>
              <a:cubicBezTo>
                <a:pt x="48771" y="1796361"/>
                <a:pt x="48771" y="1796361"/>
                <a:pt x="48771" y="1796361"/>
              </a:cubicBezTo>
              <a:cubicBezTo>
                <a:pt x="86320" y="1915451"/>
                <a:pt x="86320" y="1915451"/>
                <a:pt x="86320" y="1915451"/>
              </a:cubicBezTo>
              <a:cubicBezTo>
                <a:pt x="134106" y="2030815"/>
                <a:pt x="134106" y="2030815"/>
                <a:pt x="134106" y="2030815"/>
              </a:cubicBezTo>
              <a:cubicBezTo>
                <a:pt x="191764" y="2141575"/>
                <a:pt x="191764" y="2141575"/>
                <a:pt x="191764" y="2141575"/>
              </a:cubicBezTo>
              <a:cubicBezTo>
                <a:pt x="258856" y="2246888"/>
                <a:pt x="258856" y="2246888"/>
                <a:pt x="258856" y="2246888"/>
              </a:cubicBezTo>
              <a:cubicBezTo>
                <a:pt x="334871" y="2345953"/>
                <a:pt x="334871" y="2345953"/>
                <a:pt x="334871" y="2345953"/>
              </a:cubicBezTo>
              <a:cubicBezTo>
                <a:pt x="419231" y="2438016"/>
                <a:pt x="419231" y="2438016"/>
                <a:pt x="419231" y="2438016"/>
              </a:cubicBezTo>
              <a:cubicBezTo>
                <a:pt x="511294" y="2522377"/>
                <a:pt x="511294" y="2522377"/>
                <a:pt x="511294" y="2522377"/>
              </a:cubicBezTo>
              <a:cubicBezTo>
                <a:pt x="610360" y="2598392"/>
                <a:pt x="610360" y="2598392"/>
                <a:pt x="610360" y="2598392"/>
              </a:cubicBezTo>
              <a:cubicBezTo>
                <a:pt x="715673" y="2665484"/>
                <a:pt x="715673" y="2665484"/>
                <a:pt x="715673" y="2665484"/>
              </a:cubicBezTo>
              <a:cubicBezTo>
                <a:pt x="826433" y="2723142"/>
                <a:pt x="826433" y="2723142"/>
                <a:pt x="826433" y="2723142"/>
              </a:cubicBezTo>
              <a:cubicBezTo>
                <a:pt x="941797" y="2770928"/>
                <a:pt x="941797" y="2770928"/>
                <a:pt x="941797" y="2770928"/>
              </a:cubicBezTo>
              <a:cubicBezTo>
                <a:pt x="1060887" y="2808477"/>
                <a:pt x="1060887" y="2808477"/>
                <a:pt x="1060887" y="2808477"/>
              </a:cubicBezTo>
              <a:cubicBezTo>
                <a:pt x="1182796" y="2835503"/>
                <a:pt x="1182796" y="2835503"/>
                <a:pt x="1182796" y="2835503"/>
              </a:cubicBezTo>
              <a:cubicBezTo>
                <a:pt x="1306597" y="2851802"/>
                <a:pt x="1306597" y="2851802"/>
                <a:pt x="1306597" y="2851802"/>
              </a:cubicBezTo>
              <a:cubicBezTo>
                <a:pt x="1431347" y="2857249"/>
                <a:pt x="1431347" y="2857249"/>
                <a:pt x="1431347" y="2857249"/>
              </a:cubicBezTo>
              <a:cubicBezTo>
                <a:pt x="1431347" y="2857249"/>
                <a:pt x="1431347" y="2857249"/>
                <a:pt x="1431347" y="2857249"/>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133304</xdr:colOff>
      <xdr:row>14</xdr:row>
      <xdr:rowOff>76716</xdr:rowOff>
    </xdr:from>
    <xdr:to>
      <xdr:col>4</xdr:col>
      <xdr:colOff>364658</xdr:colOff>
      <xdr:row>15</xdr:row>
      <xdr:rowOff>135945</xdr:rowOff>
    </xdr:to>
    <xdr:sp macro="" textlink="">
      <xdr:nvSpPr>
        <xdr:cNvPr id="40" name="テキスト ボックス 39">
          <a:extLst>
            <a:ext uri="{FF2B5EF4-FFF2-40B4-BE49-F238E27FC236}">
              <a16:creationId xmlns:a16="http://schemas.microsoft.com/office/drawing/2014/main" id="{7151D11C-26C4-4054-8A6C-0211C1484072}"/>
            </a:ext>
          </a:extLst>
        </xdr:cNvPr>
        <xdr:cNvSpPr txBox="1"/>
      </xdr:nvSpPr>
      <xdr:spPr>
        <a:xfrm>
          <a:off x="1847804" y="3696216"/>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α=175[°]</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5</xdr:col>
      <xdr:colOff>510495</xdr:colOff>
      <xdr:row>15</xdr:row>
      <xdr:rowOff>20782</xdr:rowOff>
    </xdr:from>
    <xdr:to>
      <xdr:col>7</xdr:col>
      <xdr:colOff>6927</xdr:colOff>
      <xdr:row>28</xdr:row>
      <xdr:rowOff>177197</xdr:rowOff>
    </xdr:to>
    <xdr:cxnSp macro="">
      <xdr:nvCxnSpPr>
        <xdr:cNvPr id="41" name="直線コネクタ 40">
          <a:extLst>
            <a:ext uri="{FF2B5EF4-FFF2-40B4-BE49-F238E27FC236}">
              <a16:creationId xmlns:a16="http://schemas.microsoft.com/office/drawing/2014/main" id="{BE817475-A770-46D5-8547-EA567EA8EA34}"/>
            </a:ext>
          </a:extLst>
        </xdr:cNvPr>
        <xdr:cNvCxnSpPr/>
      </xdr:nvCxnSpPr>
      <xdr:spPr>
        <a:xfrm flipH="1">
          <a:off x="3329895" y="3887932"/>
          <a:ext cx="601332" cy="3375865"/>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472395</xdr:colOff>
      <xdr:row>28</xdr:row>
      <xdr:rowOff>139097</xdr:rowOff>
    </xdr:from>
    <xdr:to>
      <xdr:col>5</xdr:col>
      <xdr:colOff>548595</xdr:colOff>
      <xdr:row>29</xdr:row>
      <xdr:rowOff>43847</xdr:rowOff>
    </xdr:to>
    <xdr:sp macro="" textlink="">
      <xdr:nvSpPr>
        <xdr:cNvPr id="42" name="矢印: 右 41">
          <a:extLst>
            <a:ext uri="{FF2B5EF4-FFF2-40B4-BE49-F238E27FC236}">
              <a16:creationId xmlns:a16="http://schemas.microsoft.com/office/drawing/2014/main" id="{610FB144-D7D7-4A05-98B2-78C325AED20C}"/>
            </a:ext>
          </a:extLst>
        </xdr:cNvPr>
        <xdr:cNvSpPr/>
      </xdr:nvSpPr>
      <xdr:spPr>
        <a:xfrm rot="16800000">
          <a:off x="3253695" y="7263797"/>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126884</xdr:colOff>
      <xdr:row>28</xdr:row>
      <xdr:rowOff>235625</xdr:rowOff>
    </xdr:from>
    <xdr:to>
      <xdr:col>6</xdr:col>
      <xdr:colOff>15580</xdr:colOff>
      <xdr:row>30</xdr:row>
      <xdr:rowOff>94829</xdr:rowOff>
    </xdr:to>
    <xdr:sp macro="" textlink="">
      <xdr:nvSpPr>
        <xdr:cNvPr id="43" name="テキスト ボックス 42">
          <a:extLst>
            <a:ext uri="{FF2B5EF4-FFF2-40B4-BE49-F238E27FC236}">
              <a16:creationId xmlns:a16="http://schemas.microsoft.com/office/drawing/2014/main" id="{DC446EB1-4E52-4E2F-89F4-E10814ACB06F}"/>
            </a:ext>
          </a:extLst>
        </xdr:cNvPr>
        <xdr:cNvSpPr txBox="1"/>
      </xdr:nvSpPr>
      <xdr:spPr>
        <a:xfrm>
          <a:off x="2946284" y="7322225"/>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12</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6</xdr:col>
      <xdr:colOff>194933</xdr:colOff>
      <xdr:row>23</xdr:row>
      <xdr:rowOff>85560</xdr:rowOff>
    </xdr:from>
    <xdr:to>
      <xdr:col>7</xdr:col>
      <xdr:colOff>6928</xdr:colOff>
      <xdr:row>23</xdr:row>
      <xdr:rowOff>117767</xdr:rowOff>
    </xdr:to>
    <xdr:sp macro="" textlink="">
      <xdr:nvSpPr>
        <xdr:cNvPr id="44" name="フリーフォーム: 図形 43">
          <a:extLst>
            <a:ext uri="{FF2B5EF4-FFF2-40B4-BE49-F238E27FC236}">
              <a16:creationId xmlns:a16="http://schemas.microsoft.com/office/drawing/2014/main" id="{9EF5815C-B385-46A0-B67D-E91C7A96A7C4}"/>
            </a:ext>
          </a:extLst>
        </xdr:cNvPr>
        <xdr:cNvSpPr/>
      </xdr:nvSpPr>
      <xdr:spPr>
        <a:xfrm>
          <a:off x="3566783" y="5933910"/>
          <a:ext cx="364445" cy="32207"/>
        </a:xfrm>
        <a:custGeom>
          <a:avLst/>
          <a:gdLst/>
          <a:ahLst/>
          <a:cxnLst/>
          <a:rect l="0" t="0" r="0" b="0"/>
          <a:pathLst>
            <a:path w="364445" h="32207">
              <a:moveTo>
                <a:pt x="0" y="0"/>
              </a:moveTo>
              <a:cubicBezTo>
                <a:pt x="179705" y="23978"/>
                <a:pt x="179705" y="23978"/>
                <a:pt x="179705" y="23978"/>
              </a:cubicBezTo>
              <a:cubicBezTo>
                <a:pt x="360817" y="32203"/>
                <a:pt x="360817" y="32203"/>
                <a:pt x="360817" y="32203"/>
              </a:cubicBezTo>
              <a:cubicBezTo>
                <a:pt x="364444" y="32206"/>
                <a:pt x="364444" y="32206"/>
                <a:pt x="364444" y="32206"/>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253175</xdr:colOff>
      <xdr:row>22</xdr:row>
      <xdr:rowOff>103198</xdr:rowOff>
    </xdr:from>
    <xdr:to>
      <xdr:col>6</xdr:col>
      <xdr:colOff>510562</xdr:colOff>
      <xdr:row>23</xdr:row>
      <xdr:rowOff>162427</xdr:rowOff>
    </xdr:to>
    <xdr:sp macro="" textlink="">
      <xdr:nvSpPr>
        <xdr:cNvPr id="45" name="テキスト ボックス 44">
          <a:extLst>
            <a:ext uri="{FF2B5EF4-FFF2-40B4-BE49-F238E27FC236}">
              <a16:creationId xmlns:a16="http://schemas.microsoft.com/office/drawing/2014/main" id="{FF0418A6-68EF-4DEB-8CFB-4D1A105FFD31}"/>
            </a:ext>
          </a:extLst>
        </xdr:cNvPr>
        <xdr:cNvSpPr txBox="1"/>
      </xdr:nvSpPr>
      <xdr:spPr>
        <a:xfrm>
          <a:off x="3072575" y="5703898"/>
          <a:ext cx="80983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γ=10.1[°]</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7</xdr:col>
      <xdr:colOff>6927</xdr:colOff>
      <xdr:row>15</xdr:row>
      <xdr:rowOff>20782</xdr:rowOff>
    </xdr:from>
    <xdr:to>
      <xdr:col>13</xdr:col>
      <xdr:colOff>16459</xdr:colOff>
      <xdr:row>18</xdr:row>
      <xdr:rowOff>118992</xdr:rowOff>
    </xdr:to>
    <xdr:cxnSp macro="">
      <xdr:nvCxnSpPr>
        <xdr:cNvPr id="46" name="直線コネクタ 45">
          <a:extLst>
            <a:ext uri="{FF2B5EF4-FFF2-40B4-BE49-F238E27FC236}">
              <a16:creationId xmlns:a16="http://schemas.microsoft.com/office/drawing/2014/main" id="{F2D0FCD8-657D-4248-8E1A-EF0E6301747C}"/>
            </a:ext>
          </a:extLst>
        </xdr:cNvPr>
        <xdr:cNvCxnSpPr/>
      </xdr:nvCxnSpPr>
      <xdr:spPr>
        <a:xfrm>
          <a:off x="3931227" y="3887932"/>
          <a:ext cx="3324232" cy="841160"/>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492709</xdr:colOff>
      <xdr:row>18</xdr:row>
      <xdr:rowOff>118992</xdr:rowOff>
    </xdr:from>
    <xdr:to>
      <xdr:col>13</xdr:col>
      <xdr:colOff>92659</xdr:colOff>
      <xdr:row>18</xdr:row>
      <xdr:rowOff>195192</xdr:rowOff>
    </xdr:to>
    <xdr:sp macro="" textlink="">
      <xdr:nvSpPr>
        <xdr:cNvPr id="47" name="矢印: 右 46">
          <a:extLst>
            <a:ext uri="{FF2B5EF4-FFF2-40B4-BE49-F238E27FC236}">
              <a16:creationId xmlns:a16="http://schemas.microsoft.com/office/drawing/2014/main" id="{F8573A52-5D0D-417B-A849-AE25590A4EB5}"/>
            </a:ext>
          </a:extLst>
        </xdr:cNvPr>
        <xdr:cNvSpPr/>
      </xdr:nvSpPr>
      <xdr:spPr>
        <a:xfrm rot="11640000">
          <a:off x="7179259" y="4729092"/>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64131</xdr:colOff>
      <xdr:row>17</xdr:row>
      <xdr:rowOff>190377</xdr:rowOff>
    </xdr:from>
    <xdr:to>
      <xdr:col>13</xdr:col>
      <xdr:colOff>441157</xdr:colOff>
      <xdr:row>19</xdr:row>
      <xdr:rowOff>1956</xdr:rowOff>
    </xdr:to>
    <xdr:sp macro="" textlink="">
      <xdr:nvSpPr>
        <xdr:cNvPr id="48" name="テキスト ボックス 47">
          <a:extLst>
            <a:ext uri="{FF2B5EF4-FFF2-40B4-BE49-F238E27FC236}">
              <a16:creationId xmlns:a16="http://schemas.microsoft.com/office/drawing/2014/main" id="{1F40B089-6316-4297-B9E5-1AA2A037C548}"/>
            </a:ext>
          </a:extLst>
        </xdr:cNvPr>
        <xdr:cNvSpPr txBox="1"/>
      </xdr:nvSpPr>
      <xdr:spPr>
        <a:xfrm>
          <a:off x="7303131" y="4552827"/>
          <a:ext cx="37702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9</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7</xdr:col>
      <xdr:colOff>6927</xdr:colOff>
      <xdr:row>17</xdr:row>
      <xdr:rowOff>86256</xdr:rowOff>
    </xdr:from>
    <xdr:to>
      <xdr:col>11</xdr:col>
      <xdr:colOff>13282</xdr:colOff>
      <xdr:row>24</xdr:row>
      <xdr:rowOff>77935</xdr:rowOff>
    </xdr:to>
    <xdr:sp macro="" textlink="">
      <xdr:nvSpPr>
        <xdr:cNvPr id="49" name="フリーフォーム: 図形 48">
          <a:extLst>
            <a:ext uri="{FF2B5EF4-FFF2-40B4-BE49-F238E27FC236}">
              <a16:creationId xmlns:a16="http://schemas.microsoft.com/office/drawing/2014/main" id="{D9C06242-ECD4-4E5E-96DD-F54F8DC54EE8}"/>
            </a:ext>
          </a:extLst>
        </xdr:cNvPr>
        <xdr:cNvSpPr/>
      </xdr:nvSpPr>
      <xdr:spPr>
        <a:xfrm>
          <a:off x="3931227" y="4448706"/>
          <a:ext cx="2216155" cy="1725229"/>
        </a:xfrm>
        <a:custGeom>
          <a:avLst/>
          <a:gdLst/>
          <a:ahLst/>
          <a:cxnLst/>
          <a:rect l="0" t="0" r="0" b="0"/>
          <a:pathLst>
            <a:path w="2216155" h="1725229">
              <a:moveTo>
                <a:pt x="0" y="1725228"/>
              </a:moveTo>
              <a:cubicBezTo>
                <a:pt x="199239" y="1716529"/>
                <a:pt x="199239" y="1716529"/>
                <a:pt x="199239" y="1716529"/>
              </a:cubicBezTo>
              <a:cubicBezTo>
                <a:pt x="396960" y="1690498"/>
                <a:pt x="396960" y="1690498"/>
                <a:pt x="396960" y="1690498"/>
              </a:cubicBezTo>
              <a:cubicBezTo>
                <a:pt x="591661" y="1647334"/>
                <a:pt x="591661" y="1647334"/>
                <a:pt x="591661" y="1647334"/>
              </a:cubicBezTo>
              <a:cubicBezTo>
                <a:pt x="781859" y="1587365"/>
                <a:pt x="781859" y="1587365"/>
                <a:pt x="781859" y="1587365"/>
              </a:cubicBezTo>
              <a:cubicBezTo>
                <a:pt x="966107" y="1511048"/>
                <a:pt x="966107" y="1511048"/>
                <a:pt x="966107" y="1511048"/>
              </a:cubicBezTo>
              <a:cubicBezTo>
                <a:pt x="1143001" y="1418962"/>
                <a:pt x="1143001" y="1418962"/>
                <a:pt x="1143001" y="1418962"/>
              </a:cubicBezTo>
              <a:cubicBezTo>
                <a:pt x="1311197" y="1311809"/>
                <a:pt x="1311197" y="1311809"/>
                <a:pt x="1311197" y="1311809"/>
              </a:cubicBezTo>
              <a:cubicBezTo>
                <a:pt x="1469414" y="1190405"/>
                <a:pt x="1469414" y="1190405"/>
                <a:pt x="1469414" y="1190405"/>
              </a:cubicBezTo>
              <a:cubicBezTo>
                <a:pt x="1616448" y="1055674"/>
                <a:pt x="1616448" y="1055674"/>
                <a:pt x="1616448" y="1055674"/>
              </a:cubicBezTo>
              <a:cubicBezTo>
                <a:pt x="1751179" y="908640"/>
                <a:pt x="1751179" y="908640"/>
                <a:pt x="1751179" y="908640"/>
              </a:cubicBezTo>
              <a:cubicBezTo>
                <a:pt x="1872583" y="750423"/>
                <a:pt x="1872583" y="750423"/>
                <a:pt x="1872583" y="750423"/>
              </a:cubicBezTo>
              <a:cubicBezTo>
                <a:pt x="1979736" y="582228"/>
                <a:pt x="1979736" y="582228"/>
                <a:pt x="1979736" y="582228"/>
              </a:cubicBezTo>
              <a:cubicBezTo>
                <a:pt x="2071822" y="405333"/>
                <a:pt x="2071822" y="405333"/>
                <a:pt x="2071822" y="405333"/>
              </a:cubicBezTo>
              <a:cubicBezTo>
                <a:pt x="2148140" y="221085"/>
                <a:pt x="2148140" y="221085"/>
                <a:pt x="2148140" y="221085"/>
              </a:cubicBezTo>
              <a:cubicBezTo>
                <a:pt x="2208109" y="30888"/>
                <a:pt x="2208109" y="30888"/>
                <a:pt x="2208109" y="30888"/>
              </a:cubicBezTo>
              <a:cubicBezTo>
                <a:pt x="2216154" y="0"/>
                <a:pt x="2216154" y="0"/>
                <a:pt x="2216154"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129347</xdr:colOff>
      <xdr:row>21</xdr:row>
      <xdr:rowOff>84580</xdr:rowOff>
    </xdr:from>
    <xdr:to>
      <xdr:col>9</xdr:col>
      <xdr:colOff>450854</xdr:colOff>
      <xdr:row>22</xdr:row>
      <xdr:rowOff>143809</xdr:rowOff>
    </xdr:to>
    <xdr:sp macro="" textlink="">
      <xdr:nvSpPr>
        <xdr:cNvPr id="50" name="テキスト ボックス 49">
          <a:extLst>
            <a:ext uri="{FF2B5EF4-FFF2-40B4-BE49-F238E27FC236}">
              <a16:creationId xmlns:a16="http://schemas.microsoft.com/office/drawing/2014/main" id="{FC5C03E5-5307-4FC4-A144-5C317F4DE2DC}"/>
            </a:ext>
          </a:extLst>
        </xdr:cNvPr>
        <xdr:cNvSpPr txBox="1"/>
      </xdr:nvSpPr>
      <xdr:spPr>
        <a:xfrm>
          <a:off x="4606097" y="5437630"/>
          <a:ext cx="87395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γ=-75.8[°]</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xdr:col>
      <xdr:colOff>142311</xdr:colOff>
      <xdr:row>15</xdr:row>
      <xdr:rowOff>20782</xdr:rowOff>
    </xdr:from>
    <xdr:to>
      <xdr:col>7</xdr:col>
      <xdr:colOff>6927</xdr:colOff>
      <xdr:row>20</xdr:row>
      <xdr:rowOff>67059</xdr:rowOff>
    </xdr:to>
    <xdr:cxnSp macro="">
      <xdr:nvCxnSpPr>
        <xdr:cNvPr id="51" name="直線コネクタ 50">
          <a:extLst>
            <a:ext uri="{FF2B5EF4-FFF2-40B4-BE49-F238E27FC236}">
              <a16:creationId xmlns:a16="http://schemas.microsoft.com/office/drawing/2014/main" id="{F022EA9A-95F1-4F31-8F9F-DB15CECBB01E}"/>
            </a:ext>
          </a:extLst>
        </xdr:cNvPr>
        <xdr:cNvCxnSpPr/>
      </xdr:nvCxnSpPr>
      <xdr:spPr>
        <a:xfrm flipH="1">
          <a:off x="751911" y="3887932"/>
          <a:ext cx="3179316" cy="1284527"/>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66111</xdr:colOff>
      <xdr:row>20</xdr:row>
      <xdr:rowOff>67059</xdr:rowOff>
    </xdr:from>
    <xdr:to>
      <xdr:col>1</xdr:col>
      <xdr:colOff>218511</xdr:colOff>
      <xdr:row>20</xdr:row>
      <xdr:rowOff>143259</xdr:rowOff>
    </xdr:to>
    <xdr:sp macro="" textlink="">
      <xdr:nvSpPr>
        <xdr:cNvPr id="52" name="矢印: 右 51">
          <a:extLst>
            <a:ext uri="{FF2B5EF4-FFF2-40B4-BE49-F238E27FC236}">
              <a16:creationId xmlns:a16="http://schemas.microsoft.com/office/drawing/2014/main" id="{F8808974-9A8C-42B0-B4FC-517CFE22051E}"/>
            </a:ext>
          </a:extLst>
        </xdr:cNvPr>
        <xdr:cNvSpPr/>
      </xdr:nvSpPr>
      <xdr:spPr>
        <a:xfrm rot="20280000">
          <a:off x="675711" y="5172459"/>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129598</xdr:colOff>
      <xdr:row>19</xdr:row>
      <xdr:rowOff>179496</xdr:rowOff>
    </xdr:from>
    <xdr:to>
      <xdr:col>0</xdr:col>
      <xdr:colOff>570744</xdr:colOff>
      <xdr:row>20</xdr:row>
      <xdr:rowOff>238725</xdr:rowOff>
    </xdr:to>
    <xdr:sp macro="" textlink="">
      <xdr:nvSpPr>
        <xdr:cNvPr id="53" name="テキスト ボックス 52">
          <a:extLst>
            <a:ext uri="{FF2B5EF4-FFF2-40B4-BE49-F238E27FC236}">
              <a16:creationId xmlns:a16="http://schemas.microsoft.com/office/drawing/2014/main" id="{A2723196-F49E-4B01-AF5C-100FAE57C22B}"/>
            </a:ext>
          </a:extLst>
        </xdr:cNvPr>
        <xdr:cNvSpPr txBox="1"/>
      </xdr:nvSpPr>
      <xdr:spPr>
        <a:xfrm>
          <a:off x="129598" y="5037246"/>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14</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2</xdr:col>
      <xdr:colOff>456948</xdr:colOff>
      <xdr:row>18</xdr:row>
      <xdr:rowOff>212034</xdr:rowOff>
    </xdr:from>
    <xdr:to>
      <xdr:col>7</xdr:col>
      <xdr:colOff>6928</xdr:colOff>
      <xdr:row>25</xdr:row>
      <xdr:rowOff>38103</xdr:rowOff>
    </xdr:to>
    <xdr:sp macro="" textlink="">
      <xdr:nvSpPr>
        <xdr:cNvPr id="54" name="フリーフォーム: 図形 53">
          <a:extLst>
            <a:ext uri="{FF2B5EF4-FFF2-40B4-BE49-F238E27FC236}">
              <a16:creationId xmlns:a16="http://schemas.microsoft.com/office/drawing/2014/main" id="{B53970AD-809F-4D74-83E6-73C6AD17810B}"/>
            </a:ext>
          </a:extLst>
        </xdr:cNvPr>
        <xdr:cNvSpPr/>
      </xdr:nvSpPr>
      <xdr:spPr>
        <a:xfrm>
          <a:off x="1618998" y="4822134"/>
          <a:ext cx="2312230" cy="1559619"/>
        </a:xfrm>
        <a:custGeom>
          <a:avLst/>
          <a:gdLst/>
          <a:ahLst/>
          <a:cxnLst/>
          <a:rect l="0" t="0" r="0" b="0"/>
          <a:pathLst>
            <a:path w="2312230" h="1559619">
              <a:moveTo>
                <a:pt x="0" y="0"/>
              </a:moveTo>
              <a:cubicBezTo>
                <a:pt x="90219" y="197969"/>
                <a:pt x="90219" y="197969"/>
                <a:pt x="90219" y="197969"/>
              </a:cubicBezTo>
              <a:cubicBezTo>
                <a:pt x="197350" y="387322"/>
                <a:pt x="197350" y="387322"/>
                <a:pt x="197350" y="387322"/>
              </a:cubicBezTo>
              <a:cubicBezTo>
                <a:pt x="320576" y="566617"/>
                <a:pt x="320576" y="566617"/>
                <a:pt x="320576" y="566617"/>
              </a:cubicBezTo>
              <a:cubicBezTo>
                <a:pt x="458960" y="734490"/>
                <a:pt x="458960" y="734490"/>
                <a:pt x="458960" y="734490"/>
              </a:cubicBezTo>
              <a:cubicBezTo>
                <a:pt x="611448" y="889663"/>
                <a:pt x="611448" y="889663"/>
                <a:pt x="611448" y="889663"/>
              </a:cubicBezTo>
              <a:cubicBezTo>
                <a:pt x="776880" y="1030955"/>
                <a:pt x="776880" y="1030955"/>
                <a:pt x="776880" y="1030955"/>
              </a:cubicBezTo>
              <a:cubicBezTo>
                <a:pt x="953997" y="1157292"/>
                <a:pt x="953997" y="1157292"/>
                <a:pt x="953997" y="1157292"/>
              </a:cubicBezTo>
              <a:cubicBezTo>
                <a:pt x="1141452" y="1267711"/>
                <a:pt x="1141452" y="1267711"/>
                <a:pt x="1141452" y="1267711"/>
              </a:cubicBezTo>
              <a:cubicBezTo>
                <a:pt x="1337816" y="1361372"/>
                <a:pt x="1337816" y="1361372"/>
                <a:pt x="1337816" y="1361372"/>
              </a:cubicBezTo>
              <a:cubicBezTo>
                <a:pt x="1541596" y="1437562"/>
                <a:pt x="1541596" y="1437562"/>
                <a:pt x="1541596" y="1437562"/>
              </a:cubicBezTo>
              <a:cubicBezTo>
                <a:pt x="1751242" y="1495702"/>
                <a:pt x="1751242" y="1495702"/>
                <a:pt x="1751242" y="1495702"/>
              </a:cubicBezTo>
              <a:cubicBezTo>
                <a:pt x="1965156" y="1535348"/>
                <a:pt x="1965156" y="1535348"/>
                <a:pt x="1965156" y="1535348"/>
              </a:cubicBezTo>
              <a:cubicBezTo>
                <a:pt x="2181713" y="1556201"/>
                <a:pt x="2181713" y="1556201"/>
                <a:pt x="2181713" y="1556201"/>
              </a:cubicBezTo>
              <a:cubicBezTo>
                <a:pt x="2312229" y="1559618"/>
                <a:pt x="2312229" y="1559618"/>
                <a:pt x="2312229" y="1559618"/>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245098</xdr:colOff>
      <xdr:row>22</xdr:row>
      <xdr:rowOff>100552</xdr:rowOff>
    </xdr:from>
    <xdr:to>
      <xdr:col>4</xdr:col>
      <xdr:colOff>412332</xdr:colOff>
      <xdr:row>23</xdr:row>
      <xdr:rowOff>159781</xdr:rowOff>
    </xdr:to>
    <xdr:sp macro="" textlink="">
      <xdr:nvSpPr>
        <xdr:cNvPr id="55" name="テキスト ボックス 54">
          <a:extLst>
            <a:ext uri="{FF2B5EF4-FFF2-40B4-BE49-F238E27FC236}">
              <a16:creationId xmlns:a16="http://schemas.microsoft.com/office/drawing/2014/main" id="{0BE4CC32-55C0-48A0-81E9-DD47596F77A6}"/>
            </a:ext>
          </a:extLst>
        </xdr:cNvPr>
        <xdr:cNvSpPr txBox="1"/>
      </xdr:nvSpPr>
      <xdr:spPr>
        <a:xfrm>
          <a:off x="1959598" y="5701252"/>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γ=68[°]</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0</xdr:col>
      <xdr:colOff>502245</xdr:colOff>
      <xdr:row>15</xdr:row>
      <xdr:rowOff>8813</xdr:rowOff>
    </xdr:from>
    <xdr:to>
      <xdr:col>7</xdr:col>
      <xdr:colOff>6927</xdr:colOff>
      <xdr:row>15</xdr:row>
      <xdr:rowOff>20782</xdr:rowOff>
    </xdr:to>
    <xdr:cxnSp macro="">
      <xdr:nvCxnSpPr>
        <xdr:cNvPr id="56" name="直線コネクタ 55">
          <a:extLst>
            <a:ext uri="{FF2B5EF4-FFF2-40B4-BE49-F238E27FC236}">
              <a16:creationId xmlns:a16="http://schemas.microsoft.com/office/drawing/2014/main" id="{DFC545DF-52B1-4064-BB25-F95F75C862C5}"/>
            </a:ext>
          </a:extLst>
        </xdr:cNvPr>
        <xdr:cNvCxnSpPr/>
      </xdr:nvCxnSpPr>
      <xdr:spPr>
        <a:xfrm flipH="1" flipV="1">
          <a:off x="502245" y="3875963"/>
          <a:ext cx="3428982" cy="11969"/>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426045</xdr:colOff>
      <xdr:row>15</xdr:row>
      <xdr:rowOff>8813</xdr:rowOff>
    </xdr:from>
    <xdr:to>
      <xdr:col>0</xdr:col>
      <xdr:colOff>578445</xdr:colOff>
      <xdr:row>15</xdr:row>
      <xdr:rowOff>85013</xdr:rowOff>
    </xdr:to>
    <xdr:sp macro="" textlink="">
      <xdr:nvSpPr>
        <xdr:cNvPr id="57" name="矢印: 右 56">
          <a:extLst>
            <a:ext uri="{FF2B5EF4-FFF2-40B4-BE49-F238E27FC236}">
              <a16:creationId xmlns:a16="http://schemas.microsoft.com/office/drawing/2014/main" id="{0F89FD69-318A-4013-BBAD-BE331D1CDACF}"/>
            </a:ext>
          </a:extLst>
        </xdr:cNvPr>
        <xdr:cNvSpPr/>
      </xdr:nvSpPr>
      <xdr:spPr>
        <a:xfrm>
          <a:off x="426045" y="3875963"/>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13786</xdr:colOff>
      <xdr:row>14</xdr:row>
      <xdr:rowOff>1204</xdr:rowOff>
    </xdr:from>
    <xdr:to>
      <xdr:col>0</xdr:col>
      <xdr:colOff>454932</xdr:colOff>
      <xdr:row>15</xdr:row>
      <xdr:rowOff>60433</xdr:rowOff>
    </xdr:to>
    <xdr:sp macro="" textlink="">
      <xdr:nvSpPr>
        <xdr:cNvPr id="58" name="テキスト ボックス 57">
          <a:extLst>
            <a:ext uri="{FF2B5EF4-FFF2-40B4-BE49-F238E27FC236}">
              <a16:creationId xmlns:a16="http://schemas.microsoft.com/office/drawing/2014/main" id="{E8B5B034-AF97-47AE-BC4A-8000676DFBE2}"/>
            </a:ext>
          </a:extLst>
        </xdr:cNvPr>
        <xdr:cNvSpPr txBox="1"/>
      </xdr:nvSpPr>
      <xdr:spPr>
        <a:xfrm>
          <a:off x="13786" y="3620704"/>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16</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2</xdr:col>
      <xdr:colOff>67555</xdr:colOff>
      <xdr:row>15</xdr:row>
      <xdr:rowOff>11352</xdr:rowOff>
    </xdr:from>
    <xdr:to>
      <xdr:col>7</xdr:col>
      <xdr:colOff>6928</xdr:colOff>
      <xdr:row>25</xdr:row>
      <xdr:rowOff>245922</xdr:rowOff>
    </xdr:to>
    <xdr:sp macro="" textlink="">
      <xdr:nvSpPr>
        <xdr:cNvPr id="59" name="フリーフォーム: 図形 58">
          <a:extLst>
            <a:ext uri="{FF2B5EF4-FFF2-40B4-BE49-F238E27FC236}">
              <a16:creationId xmlns:a16="http://schemas.microsoft.com/office/drawing/2014/main" id="{28544BFC-8DA3-4409-9BB5-421B31931DA8}"/>
            </a:ext>
          </a:extLst>
        </xdr:cNvPr>
        <xdr:cNvSpPr/>
      </xdr:nvSpPr>
      <xdr:spPr>
        <a:xfrm>
          <a:off x="1229605" y="3878502"/>
          <a:ext cx="2701623" cy="2711070"/>
        </a:xfrm>
        <a:custGeom>
          <a:avLst/>
          <a:gdLst/>
          <a:ahLst/>
          <a:cxnLst/>
          <a:rect l="0" t="0" r="0" b="0"/>
          <a:pathLst>
            <a:path w="2701623" h="2711070">
              <a:moveTo>
                <a:pt x="0" y="0"/>
              </a:moveTo>
              <a:cubicBezTo>
                <a:pt x="9459" y="235498"/>
                <a:pt x="9459" y="235498"/>
                <a:pt x="9459" y="235498"/>
              </a:cubicBezTo>
              <a:cubicBezTo>
                <a:pt x="39406" y="469275"/>
                <a:pt x="39406" y="469275"/>
                <a:pt x="39406" y="469275"/>
              </a:cubicBezTo>
              <a:cubicBezTo>
                <a:pt x="89615" y="699552"/>
                <a:pt x="89615" y="699552"/>
                <a:pt x="89615" y="699552"/>
              </a:cubicBezTo>
              <a:cubicBezTo>
                <a:pt x="159703" y="924578"/>
                <a:pt x="159703" y="924578"/>
                <a:pt x="159703" y="924578"/>
              </a:cubicBezTo>
              <a:cubicBezTo>
                <a:pt x="249136" y="1142638"/>
                <a:pt x="249136" y="1142638"/>
                <a:pt x="249136" y="1142638"/>
              </a:cubicBezTo>
              <a:cubicBezTo>
                <a:pt x="357234" y="1352074"/>
                <a:pt x="357234" y="1352074"/>
                <a:pt x="357234" y="1352074"/>
              </a:cubicBezTo>
              <a:cubicBezTo>
                <a:pt x="483174" y="1551292"/>
                <a:pt x="483174" y="1551292"/>
                <a:pt x="483174" y="1551292"/>
              </a:cubicBezTo>
              <a:cubicBezTo>
                <a:pt x="625998" y="1738775"/>
                <a:pt x="625998" y="1738775"/>
                <a:pt x="625998" y="1738775"/>
              </a:cubicBezTo>
              <a:cubicBezTo>
                <a:pt x="784619" y="1913097"/>
                <a:pt x="784619" y="1913097"/>
                <a:pt x="784619" y="1913097"/>
              </a:cubicBezTo>
              <a:cubicBezTo>
                <a:pt x="957829" y="2072931"/>
                <a:pt x="957829" y="2072931"/>
                <a:pt x="957829" y="2072931"/>
              </a:cubicBezTo>
              <a:cubicBezTo>
                <a:pt x="1144310" y="2217060"/>
                <a:pt x="1144310" y="2217060"/>
                <a:pt x="1144310" y="2217060"/>
              </a:cubicBezTo>
              <a:cubicBezTo>
                <a:pt x="1342644" y="2344388"/>
                <a:pt x="1342644" y="2344388"/>
                <a:pt x="1342644" y="2344388"/>
              </a:cubicBezTo>
              <a:cubicBezTo>
                <a:pt x="1551320" y="2453946"/>
                <a:pt x="1551320" y="2453946"/>
                <a:pt x="1551320" y="2453946"/>
              </a:cubicBezTo>
              <a:cubicBezTo>
                <a:pt x="1768751" y="2544899"/>
                <a:pt x="1768751" y="2544899"/>
                <a:pt x="1768751" y="2544899"/>
              </a:cubicBezTo>
              <a:cubicBezTo>
                <a:pt x="1993281" y="2616556"/>
                <a:pt x="1993281" y="2616556"/>
                <a:pt x="1993281" y="2616556"/>
              </a:cubicBezTo>
              <a:cubicBezTo>
                <a:pt x="2223203" y="2668371"/>
                <a:pt x="2223203" y="2668371"/>
                <a:pt x="2223203" y="2668371"/>
              </a:cubicBezTo>
              <a:cubicBezTo>
                <a:pt x="2456765" y="2699950"/>
                <a:pt x="2456765" y="2699950"/>
                <a:pt x="2456765" y="2699950"/>
              </a:cubicBezTo>
              <a:cubicBezTo>
                <a:pt x="2692191" y="2711052"/>
                <a:pt x="2692191" y="2711052"/>
                <a:pt x="2692191" y="2711052"/>
              </a:cubicBezTo>
              <a:cubicBezTo>
                <a:pt x="2701622" y="2711069"/>
                <a:pt x="2701622" y="2711069"/>
                <a:pt x="2701622" y="2711069"/>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179779</xdr:colOff>
      <xdr:row>21</xdr:row>
      <xdr:rowOff>187741</xdr:rowOff>
    </xdr:from>
    <xdr:to>
      <xdr:col>3</xdr:col>
      <xdr:colOff>437166</xdr:colOff>
      <xdr:row>22</xdr:row>
      <xdr:rowOff>246970</xdr:rowOff>
    </xdr:to>
    <xdr:sp macro="" textlink="">
      <xdr:nvSpPr>
        <xdr:cNvPr id="60" name="テキスト ボックス 59">
          <a:extLst>
            <a:ext uri="{FF2B5EF4-FFF2-40B4-BE49-F238E27FC236}">
              <a16:creationId xmlns:a16="http://schemas.microsoft.com/office/drawing/2014/main" id="{89F2D509-9E09-458D-B73F-EBC94310A1A0}"/>
            </a:ext>
          </a:extLst>
        </xdr:cNvPr>
        <xdr:cNvSpPr txBox="1"/>
      </xdr:nvSpPr>
      <xdr:spPr>
        <a:xfrm>
          <a:off x="1341829" y="5540791"/>
          <a:ext cx="80983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γ=90.2[°]</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20</xdr:col>
      <xdr:colOff>507276</xdr:colOff>
      <xdr:row>19</xdr:row>
      <xdr:rowOff>119584</xdr:rowOff>
    </xdr:from>
    <xdr:to>
      <xdr:col>21</xdr:col>
      <xdr:colOff>51955</xdr:colOff>
      <xdr:row>19</xdr:row>
      <xdr:rowOff>123826</xdr:rowOff>
    </xdr:to>
    <xdr:sp macro="" textlink="">
      <xdr:nvSpPr>
        <xdr:cNvPr id="61" name="フリーフォーム: 図形 60">
          <a:extLst>
            <a:ext uri="{FF2B5EF4-FFF2-40B4-BE49-F238E27FC236}">
              <a16:creationId xmlns:a16="http://schemas.microsoft.com/office/drawing/2014/main" id="{606C00BE-074B-465E-83F0-251F56747FBF}"/>
            </a:ext>
          </a:extLst>
        </xdr:cNvPr>
        <xdr:cNvSpPr/>
      </xdr:nvSpPr>
      <xdr:spPr>
        <a:xfrm>
          <a:off x="11727726" y="4977334"/>
          <a:ext cx="97129" cy="4242"/>
        </a:xfrm>
        <a:custGeom>
          <a:avLst/>
          <a:gdLst/>
          <a:ahLst/>
          <a:cxnLst/>
          <a:rect l="0" t="0" r="0" b="0"/>
          <a:pathLst>
            <a:path w="97129" h="4242">
              <a:moveTo>
                <a:pt x="0" y="4241"/>
              </a:moveTo>
              <a:cubicBezTo>
                <a:pt x="97128" y="0"/>
                <a:pt x="97128" y="0"/>
                <a:pt x="97128"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531305</xdr:colOff>
      <xdr:row>17</xdr:row>
      <xdr:rowOff>237034</xdr:rowOff>
    </xdr:from>
    <xdr:to>
      <xdr:col>21</xdr:col>
      <xdr:colOff>146089</xdr:colOff>
      <xdr:row>19</xdr:row>
      <xdr:rowOff>48613</xdr:rowOff>
    </xdr:to>
    <xdr:sp macro="" textlink="">
      <xdr:nvSpPr>
        <xdr:cNvPr id="62" name="テキスト ボックス 61">
          <a:extLst>
            <a:ext uri="{FF2B5EF4-FFF2-40B4-BE49-F238E27FC236}">
              <a16:creationId xmlns:a16="http://schemas.microsoft.com/office/drawing/2014/main" id="{9A07C989-C77A-4C1C-8D4E-3D2142D8F2E9}"/>
            </a:ext>
          </a:extLst>
        </xdr:cNvPr>
        <xdr:cNvSpPr txBox="1"/>
      </xdr:nvSpPr>
      <xdr:spPr>
        <a:xfrm>
          <a:off x="11199305" y="4599484"/>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α=-5[°]</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20</xdr:col>
      <xdr:colOff>507276</xdr:colOff>
      <xdr:row>14</xdr:row>
      <xdr:rowOff>139729</xdr:rowOff>
    </xdr:from>
    <xdr:to>
      <xdr:col>23</xdr:col>
      <xdr:colOff>88177</xdr:colOff>
      <xdr:row>20</xdr:row>
      <xdr:rowOff>1</xdr:rowOff>
    </xdr:to>
    <xdr:sp macro="" textlink="">
      <xdr:nvSpPr>
        <xdr:cNvPr id="63" name="フリーフォーム: 図形 62">
          <a:extLst>
            <a:ext uri="{FF2B5EF4-FFF2-40B4-BE49-F238E27FC236}">
              <a16:creationId xmlns:a16="http://schemas.microsoft.com/office/drawing/2014/main" id="{4C8AF782-9C1F-4DEF-8BB2-5837CA601FCC}"/>
            </a:ext>
          </a:extLst>
        </xdr:cNvPr>
        <xdr:cNvSpPr/>
      </xdr:nvSpPr>
      <xdr:spPr>
        <a:xfrm>
          <a:off x="11727726" y="3759229"/>
          <a:ext cx="1238251" cy="1346172"/>
        </a:xfrm>
        <a:custGeom>
          <a:avLst/>
          <a:gdLst/>
          <a:ahLst/>
          <a:cxnLst/>
          <a:rect l="0" t="0" r="0" b="0"/>
          <a:pathLst>
            <a:path w="1238251" h="1346172">
              <a:moveTo>
                <a:pt x="0" y="1346171"/>
              </a:moveTo>
              <a:cubicBezTo>
                <a:pt x="107921" y="1341459"/>
                <a:pt x="107921" y="1341459"/>
                <a:pt x="107921" y="1341459"/>
              </a:cubicBezTo>
              <a:cubicBezTo>
                <a:pt x="215020" y="1327359"/>
                <a:pt x="215020" y="1327359"/>
                <a:pt x="215020" y="1327359"/>
              </a:cubicBezTo>
              <a:cubicBezTo>
                <a:pt x="320483" y="1303979"/>
                <a:pt x="320483" y="1303979"/>
                <a:pt x="320483" y="1303979"/>
              </a:cubicBezTo>
              <a:cubicBezTo>
                <a:pt x="423507" y="1271495"/>
                <a:pt x="423507" y="1271495"/>
                <a:pt x="423507" y="1271495"/>
              </a:cubicBezTo>
              <a:cubicBezTo>
                <a:pt x="523307" y="1230157"/>
                <a:pt x="523307" y="1230157"/>
                <a:pt x="523307" y="1230157"/>
              </a:cubicBezTo>
              <a:cubicBezTo>
                <a:pt x="619125" y="1180277"/>
                <a:pt x="619125" y="1180277"/>
                <a:pt x="619125" y="1180277"/>
              </a:cubicBezTo>
              <a:cubicBezTo>
                <a:pt x="710231" y="1122236"/>
                <a:pt x="710231" y="1122236"/>
                <a:pt x="710231" y="1122236"/>
              </a:cubicBezTo>
              <a:cubicBezTo>
                <a:pt x="795931" y="1056476"/>
                <a:pt x="795931" y="1056476"/>
                <a:pt x="795931" y="1056476"/>
              </a:cubicBezTo>
              <a:cubicBezTo>
                <a:pt x="875574" y="983496"/>
                <a:pt x="875574" y="983496"/>
                <a:pt x="875574" y="983496"/>
              </a:cubicBezTo>
              <a:cubicBezTo>
                <a:pt x="948555" y="903853"/>
                <a:pt x="948555" y="903853"/>
                <a:pt x="948555" y="903853"/>
              </a:cubicBezTo>
              <a:cubicBezTo>
                <a:pt x="1014315" y="818152"/>
                <a:pt x="1014315" y="818152"/>
                <a:pt x="1014315" y="818152"/>
              </a:cubicBezTo>
              <a:cubicBezTo>
                <a:pt x="1072355" y="727046"/>
                <a:pt x="1072355" y="727046"/>
                <a:pt x="1072355" y="727046"/>
              </a:cubicBezTo>
              <a:cubicBezTo>
                <a:pt x="1122235" y="631228"/>
                <a:pt x="1122235" y="631228"/>
                <a:pt x="1122235" y="631228"/>
              </a:cubicBezTo>
              <a:cubicBezTo>
                <a:pt x="1163574" y="531428"/>
                <a:pt x="1163574" y="531428"/>
                <a:pt x="1163574" y="531428"/>
              </a:cubicBezTo>
              <a:cubicBezTo>
                <a:pt x="1196057" y="428404"/>
                <a:pt x="1196057" y="428404"/>
                <a:pt x="1196057" y="428404"/>
              </a:cubicBezTo>
              <a:cubicBezTo>
                <a:pt x="1219438" y="322941"/>
                <a:pt x="1219438" y="322941"/>
                <a:pt x="1219438" y="322941"/>
              </a:cubicBezTo>
              <a:cubicBezTo>
                <a:pt x="1233538" y="215842"/>
                <a:pt x="1233538" y="215842"/>
                <a:pt x="1233538" y="215842"/>
              </a:cubicBezTo>
              <a:cubicBezTo>
                <a:pt x="1238250" y="107921"/>
                <a:pt x="1238250" y="107921"/>
                <a:pt x="1238250" y="107921"/>
              </a:cubicBezTo>
              <a:cubicBezTo>
                <a:pt x="1233538" y="1"/>
                <a:pt x="1233538" y="1"/>
                <a:pt x="1233538" y="1"/>
              </a:cubicBezTo>
              <a:cubicBezTo>
                <a:pt x="1233538" y="0"/>
                <a:pt x="1233538" y="0"/>
                <a:pt x="1233538"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228460</xdr:colOff>
      <xdr:row>17</xdr:row>
      <xdr:rowOff>87098</xdr:rowOff>
    </xdr:from>
    <xdr:to>
      <xdr:col>22</xdr:col>
      <xdr:colOff>459814</xdr:colOff>
      <xdr:row>18</xdr:row>
      <xdr:rowOff>146327</xdr:rowOff>
    </xdr:to>
    <xdr:sp macro="" textlink="">
      <xdr:nvSpPr>
        <xdr:cNvPr id="64" name="テキスト ボックス 63">
          <a:extLst>
            <a:ext uri="{FF2B5EF4-FFF2-40B4-BE49-F238E27FC236}">
              <a16:creationId xmlns:a16="http://schemas.microsoft.com/office/drawing/2014/main" id="{C989B5B6-7139-4611-9573-2FC72C21A6D2}"/>
            </a:ext>
          </a:extLst>
        </xdr:cNvPr>
        <xdr:cNvSpPr txBox="1"/>
      </xdr:nvSpPr>
      <xdr:spPr>
        <a:xfrm>
          <a:off x="12001360" y="4449548"/>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α=-95[°]</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18</xdr:col>
      <xdr:colOff>329296</xdr:colOff>
      <xdr:row>15</xdr:row>
      <xdr:rowOff>112237</xdr:rowOff>
    </xdr:from>
    <xdr:to>
      <xdr:col>20</xdr:col>
      <xdr:colOff>507277</xdr:colOff>
      <xdr:row>20</xdr:row>
      <xdr:rowOff>49531</xdr:rowOff>
    </xdr:to>
    <xdr:sp macro="" textlink="">
      <xdr:nvSpPr>
        <xdr:cNvPr id="65" name="フリーフォーム: 図形 64">
          <a:extLst>
            <a:ext uri="{FF2B5EF4-FFF2-40B4-BE49-F238E27FC236}">
              <a16:creationId xmlns:a16="http://schemas.microsoft.com/office/drawing/2014/main" id="{6BFFDD7D-E78B-47C0-BB00-82AE14C6C135}"/>
            </a:ext>
          </a:extLst>
        </xdr:cNvPr>
        <xdr:cNvSpPr/>
      </xdr:nvSpPr>
      <xdr:spPr>
        <a:xfrm>
          <a:off x="10444846" y="3979387"/>
          <a:ext cx="1282881" cy="1175544"/>
        </a:xfrm>
        <a:custGeom>
          <a:avLst/>
          <a:gdLst/>
          <a:ahLst/>
          <a:cxnLst/>
          <a:rect l="0" t="0" r="0" b="0"/>
          <a:pathLst>
            <a:path w="1282881" h="1175544">
              <a:moveTo>
                <a:pt x="0" y="0"/>
              </a:moveTo>
              <a:cubicBezTo>
                <a:pt x="14664" y="111384"/>
                <a:pt x="14664" y="111384"/>
                <a:pt x="14664" y="111384"/>
              </a:cubicBezTo>
              <a:cubicBezTo>
                <a:pt x="38980" y="221065"/>
                <a:pt x="38980" y="221065"/>
                <a:pt x="38980" y="221065"/>
              </a:cubicBezTo>
              <a:cubicBezTo>
                <a:pt x="72762" y="328210"/>
                <a:pt x="72762" y="328210"/>
                <a:pt x="72762" y="328210"/>
              </a:cubicBezTo>
              <a:cubicBezTo>
                <a:pt x="115755" y="432002"/>
                <a:pt x="115755" y="432002"/>
                <a:pt x="115755" y="432002"/>
              </a:cubicBezTo>
              <a:cubicBezTo>
                <a:pt x="167629" y="531653"/>
                <a:pt x="167629" y="531653"/>
                <a:pt x="167629" y="531653"/>
              </a:cubicBezTo>
              <a:cubicBezTo>
                <a:pt x="227992" y="626403"/>
                <a:pt x="227992" y="626403"/>
                <a:pt x="227992" y="626403"/>
              </a:cubicBezTo>
              <a:cubicBezTo>
                <a:pt x="296383" y="715532"/>
                <a:pt x="296383" y="715532"/>
                <a:pt x="296383" y="715532"/>
              </a:cubicBezTo>
              <a:cubicBezTo>
                <a:pt x="372282" y="798361"/>
                <a:pt x="372282" y="798361"/>
                <a:pt x="372282" y="798361"/>
              </a:cubicBezTo>
              <a:cubicBezTo>
                <a:pt x="455111" y="874260"/>
                <a:pt x="455111" y="874260"/>
                <a:pt x="455111" y="874260"/>
              </a:cubicBezTo>
              <a:cubicBezTo>
                <a:pt x="544240" y="942651"/>
                <a:pt x="544240" y="942651"/>
                <a:pt x="544240" y="942651"/>
              </a:cubicBezTo>
              <a:cubicBezTo>
                <a:pt x="638990" y="1003013"/>
                <a:pt x="638990" y="1003013"/>
                <a:pt x="638990" y="1003013"/>
              </a:cubicBezTo>
              <a:cubicBezTo>
                <a:pt x="738641" y="1054888"/>
                <a:pt x="738641" y="1054888"/>
                <a:pt x="738641" y="1054888"/>
              </a:cubicBezTo>
              <a:cubicBezTo>
                <a:pt x="842433" y="1097881"/>
                <a:pt x="842433" y="1097881"/>
                <a:pt x="842433" y="1097881"/>
              </a:cubicBezTo>
              <a:cubicBezTo>
                <a:pt x="949578" y="1131663"/>
                <a:pt x="949578" y="1131663"/>
                <a:pt x="949578" y="1131663"/>
              </a:cubicBezTo>
              <a:cubicBezTo>
                <a:pt x="1059260" y="1155979"/>
                <a:pt x="1059260" y="1155979"/>
                <a:pt x="1059260" y="1155979"/>
              </a:cubicBezTo>
              <a:cubicBezTo>
                <a:pt x="1170643" y="1170642"/>
                <a:pt x="1170643" y="1170642"/>
                <a:pt x="1170643" y="1170642"/>
              </a:cubicBezTo>
              <a:cubicBezTo>
                <a:pt x="1282880" y="1175543"/>
                <a:pt x="1282880" y="1175543"/>
                <a:pt x="1282880" y="1175543"/>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156532</xdr:colOff>
      <xdr:row>17</xdr:row>
      <xdr:rowOff>200000</xdr:rowOff>
    </xdr:from>
    <xdr:to>
      <xdr:col>19</xdr:col>
      <xdr:colOff>323766</xdr:colOff>
      <xdr:row>19</xdr:row>
      <xdr:rowOff>11579</xdr:rowOff>
    </xdr:to>
    <xdr:sp macro="" textlink="">
      <xdr:nvSpPr>
        <xdr:cNvPr id="66" name="テキスト ボックス 65">
          <a:extLst>
            <a:ext uri="{FF2B5EF4-FFF2-40B4-BE49-F238E27FC236}">
              <a16:creationId xmlns:a16="http://schemas.microsoft.com/office/drawing/2014/main" id="{F3A32CE6-BD7D-4454-8B6E-21EAB984BF89}"/>
            </a:ext>
          </a:extLst>
        </xdr:cNvPr>
        <xdr:cNvSpPr txBox="1"/>
      </xdr:nvSpPr>
      <xdr:spPr>
        <a:xfrm>
          <a:off x="10272082" y="4562450"/>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α=85[°]</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18</xdr:col>
      <xdr:colOff>200571</xdr:colOff>
      <xdr:row>9</xdr:row>
      <xdr:rowOff>79667</xdr:rowOff>
    </xdr:from>
    <xdr:to>
      <xdr:col>20</xdr:col>
      <xdr:colOff>507277</xdr:colOff>
      <xdr:row>20</xdr:row>
      <xdr:rowOff>173356</xdr:rowOff>
    </xdr:to>
    <xdr:sp macro="" textlink="">
      <xdr:nvSpPr>
        <xdr:cNvPr id="67" name="フリーフォーム: 図形 66">
          <a:extLst>
            <a:ext uri="{FF2B5EF4-FFF2-40B4-BE49-F238E27FC236}">
              <a16:creationId xmlns:a16="http://schemas.microsoft.com/office/drawing/2014/main" id="{260D76AF-CA1D-4069-A97C-BD0751855FE3}"/>
            </a:ext>
          </a:extLst>
        </xdr:cNvPr>
        <xdr:cNvSpPr/>
      </xdr:nvSpPr>
      <xdr:spPr>
        <a:xfrm>
          <a:off x="10316121" y="2460917"/>
          <a:ext cx="1411606" cy="2817839"/>
        </a:xfrm>
        <a:custGeom>
          <a:avLst/>
          <a:gdLst/>
          <a:ahLst/>
          <a:cxnLst/>
          <a:rect l="0" t="0" r="0" b="0"/>
          <a:pathLst>
            <a:path w="1411606" h="2817839">
              <a:moveTo>
                <a:pt x="1288575" y="0"/>
              </a:moveTo>
              <a:cubicBezTo>
                <a:pt x="1166482" y="16073"/>
                <a:pt x="1166482" y="16073"/>
                <a:pt x="1166482" y="16073"/>
              </a:cubicBezTo>
              <a:cubicBezTo>
                <a:pt x="1046254" y="42727"/>
                <a:pt x="1046254" y="42727"/>
                <a:pt x="1046254" y="42727"/>
              </a:cubicBezTo>
              <a:cubicBezTo>
                <a:pt x="928807" y="79758"/>
                <a:pt x="928807" y="79758"/>
                <a:pt x="928807" y="79758"/>
              </a:cubicBezTo>
              <a:cubicBezTo>
                <a:pt x="815035" y="126884"/>
                <a:pt x="815035" y="126884"/>
                <a:pt x="815035" y="126884"/>
              </a:cubicBezTo>
              <a:cubicBezTo>
                <a:pt x="705802" y="183747"/>
                <a:pt x="705802" y="183747"/>
                <a:pt x="705802" y="183747"/>
              </a:cubicBezTo>
              <a:cubicBezTo>
                <a:pt x="601941" y="249914"/>
                <a:pt x="601941" y="249914"/>
                <a:pt x="601941" y="249914"/>
              </a:cubicBezTo>
              <a:cubicBezTo>
                <a:pt x="504243" y="324881"/>
                <a:pt x="504243" y="324881"/>
                <a:pt x="504243" y="324881"/>
              </a:cubicBezTo>
              <a:cubicBezTo>
                <a:pt x="413450" y="408077"/>
                <a:pt x="413450" y="408077"/>
                <a:pt x="413450" y="408077"/>
              </a:cubicBezTo>
              <a:cubicBezTo>
                <a:pt x="330253" y="498871"/>
                <a:pt x="330253" y="498871"/>
                <a:pt x="330253" y="498871"/>
              </a:cubicBezTo>
              <a:cubicBezTo>
                <a:pt x="255286" y="596570"/>
                <a:pt x="255286" y="596570"/>
                <a:pt x="255286" y="596570"/>
              </a:cubicBezTo>
              <a:cubicBezTo>
                <a:pt x="189119" y="700430"/>
                <a:pt x="189119" y="700430"/>
                <a:pt x="189119" y="700430"/>
              </a:cubicBezTo>
              <a:cubicBezTo>
                <a:pt x="132257" y="809663"/>
                <a:pt x="132257" y="809663"/>
                <a:pt x="132257" y="809663"/>
              </a:cubicBezTo>
              <a:cubicBezTo>
                <a:pt x="85130" y="923436"/>
                <a:pt x="85130" y="923436"/>
                <a:pt x="85130" y="923436"/>
              </a:cubicBezTo>
              <a:cubicBezTo>
                <a:pt x="48099" y="1040882"/>
                <a:pt x="48099" y="1040882"/>
                <a:pt x="48099" y="1040882"/>
              </a:cubicBezTo>
              <a:cubicBezTo>
                <a:pt x="21446" y="1161110"/>
                <a:pt x="21446" y="1161110"/>
                <a:pt x="21446" y="1161110"/>
              </a:cubicBezTo>
              <a:cubicBezTo>
                <a:pt x="5371" y="1283203"/>
                <a:pt x="5371" y="1283203"/>
                <a:pt x="5371" y="1283203"/>
              </a:cubicBezTo>
              <a:cubicBezTo>
                <a:pt x="0" y="1406233"/>
                <a:pt x="0" y="1406233"/>
                <a:pt x="0" y="1406233"/>
              </a:cubicBezTo>
              <a:cubicBezTo>
                <a:pt x="5371" y="1529262"/>
                <a:pt x="5371" y="1529262"/>
                <a:pt x="5371" y="1529262"/>
              </a:cubicBezTo>
              <a:cubicBezTo>
                <a:pt x="21446" y="1651355"/>
                <a:pt x="21446" y="1651355"/>
                <a:pt x="21446" y="1651355"/>
              </a:cubicBezTo>
              <a:cubicBezTo>
                <a:pt x="48099" y="1771583"/>
                <a:pt x="48099" y="1771583"/>
                <a:pt x="48099" y="1771583"/>
              </a:cubicBezTo>
              <a:cubicBezTo>
                <a:pt x="85130" y="1889030"/>
                <a:pt x="85130" y="1889030"/>
                <a:pt x="85130" y="1889030"/>
              </a:cubicBezTo>
              <a:cubicBezTo>
                <a:pt x="132256" y="2002803"/>
                <a:pt x="132256" y="2002803"/>
                <a:pt x="132256" y="2002803"/>
              </a:cubicBezTo>
              <a:cubicBezTo>
                <a:pt x="189119" y="2112035"/>
                <a:pt x="189119" y="2112035"/>
                <a:pt x="189119" y="2112035"/>
              </a:cubicBezTo>
              <a:cubicBezTo>
                <a:pt x="255286" y="2215896"/>
                <a:pt x="255286" y="2215896"/>
                <a:pt x="255286" y="2215896"/>
              </a:cubicBezTo>
              <a:cubicBezTo>
                <a:pt x="330252" y="2313595"/>
                <a:pt x="330252" y="2313595"/>
                <a:pt x="330252" y="2313595"/>
              </a:cubicBezTo>
              <a:cubicBezTo>
                <a:pt x="413449" y="2404388"/>
                <a:pt x="413449" y="2404388"/>
                <a:pt x="413449" y="2404388"/>
              </a:cubicBezTo>
              <a:cubicBezTo>
                <a:pt x="504243" y="2487585"/>
                <a:pt x="504243" y="2487585"/>
                <a:pt x="504243" y="2487585"/>
              </a:cubicBezTo>
              <a:cubicBezTo>
                <a:pt x="601941" y="2562552"/>
                <a:pt x="601941" y="2562552"/>
                <a:pt x="601941" y="2562552"/>
              </a:cubicBezTo>
              <a:cubicBezTo>
                <a:pt x="705802" y="2628718"/>
                <a:pt x="705802" y="2628718"/>
                <a:pt x="705802" y="2628718"/>
              </a:cubicBezTo>
              <a:cubicBezTo>
                <a:pt x="815034" y="2685581"/>
                <a:pt x="815034" y="2685581"/>
                <a:pt x="815034" y="2685581"/>
              </a:cubicBezTo>
              <a:cubicBezTo>
                <a:pt x="928807" y="2732707"/>
                <a:pt x="928807" y="2732707"/>
                <a:pt x="928807" y="2732707"/>
              </a:cubicBezTo>
              <a:cubicBezTo>
                <a:pt x="1046254" y="2769739"/>
                <a:pt x="1046254" y="2769739"/>
                <a:pt x="1046254" y="2769739"/>
              </a:cubicBezTo>
              <a:cubicBezTo>
                <a:pt x="1166482" y="2796392"/>
                <a:pt x="1166482" y="2796392"/>
                <a:pt x="1166482" y="2796392"/>
              </a:cubicBezTo>
              <a:cubicBezTo>
                <a:pt x="1288575" y="2812467"/>
                <a:pt x="1288575" y="2812467"/>
                <a:pt x="1288575" y="2812467"/>
              </a:cubicBezTo>
              <a:cubicBezTo>
                <a:pt x="1411604" y="2817838"/>
                <a:pt x="1411604" y="2817838"/>
                <a:pt x="1411604" y="2817838"/>
              </a:cubicBezTo>
              <a:cubicBezTo>
                <a:pt x="1411605" y="2817838"/>
                <a:pt x="1411605" y="2817838"/>
                <a:pt x="1411605" y="2817838"/>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100927</xdr:colOff>
      <xdr:row>14</xdr:row>
      <xdr:rowOff>55072</xdr:rowOff>
    </xdr:from>
    <xdr:to>
      <xdr:col>18</xdr:col>
      <xdr:colOff>332281</xdr:colOff>
      <xdr:row>15</xdr:row>
      <xdr:rowOff>114301</xdr:rowOff>
    </xdr:to>
    <xdr:sp macro="" textlink="">
      <xdr:nvSpPr>
        <xdr:cNvPr id="68" name="テキスト ボックス 67">
          <a:extLst>
            <a:ext uri="{FF2B5EF4-FFF2-40B4-BE49-F238E27FC236}">
              <a16:creationId xmlns:a16="http://schemas.microsoft.com/office/drawing/2014/main" id="{60D341F5-22FE-4A45-9A83-D8DD7A0BB68A}"/>
            </a:ext>
          </a:extLst>
        </xdr:cNvPr>
        <xdr:cNvSpPr txBox="1"/>
      </xdr:nvSpPr>
      <xdr:spPr>
        <a:xfrm>
          <a:off x="9664027" y="3674572"/>
          <a:ext cx="78380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α=175[°]</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19</xdr:col>
      <xdr:colOff>420261</xdr:colOff>
      <xdr:row>15</xdr:row>
      <xdr:rowOff>0</xdr:rowOff>
    </xdr:from>
    <xdr:to>
      <xdr:col>20</xdr:col>
      <xdr:colOff>507276</xdr:colOff>
      <xdr:row>28</xdr:row>
      <xdr:rowOff>101246</xdr:rowOff>
    </xdr:to>
    <xdr:cxnSp macro="">
      <xdr:nvCxnSpPr>
        <xdr:cNvPr id="69" name="直線コネクタ 68">
          <a:extLst>
            <a:ext uri="{FF2B5EF4-FFF2-40B4-BE49-F238E27FC236}">
              <a16:creationId xmlns:a16="http://schemas.microsoft.com/office/drawing/2014/main" id="{8089D40F-E69A-41EB-873E-5CC9F0B3D9A8}"/>
            </a:ext>
          </a:extLst>
        </xdr:cNvPr>
        <xdr:cNvCxnSpPr/>
      </xdr:nvCxnSpPr>
      <xdr:spPr>
        <a:xfrm flipH="1">
          <a:off x="11088261" y="3867150"/>
          <a:ext cx="639465" cy="3320696"/>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382161</xdr:colOff>
      <xdr:row>28</xdr:row>
      <xdr:rowOff>63146</xdr:rowOff>
    </xdr:from>
    <xdr:to>
      <xdr:col>19</xdr:col>
      <xdr:colOff>458361</xdr:colOff>
      <xdr:row>28</xdr:row>
      <xdr:rowOff>215546</xdr:rowOff>
    </xdr:to>
    <xdr:sp macro="" textlink="">
      <xdr:nvSpPr>
        <xdr:cNvPr id="70" name="矢印: 右 69">
          <a:extLst>
            <a:ext uri="{FF2B5EF4-FFF2-40B4-BE49-F238E27FC236}">
              <a16:creationId xmlns:a16="http://schemas.microsoft.com/office/drawing/2014/main" id="{7212B623-B014-499C-80BB-ACAC784D019B}"/>
            </a:ext>
          </a:extLst>
        </xdr:cNvPr>
        <xdr:cNvSpPr/>
      </xdr:nvSpPr>
      <xdr:spPr>
        <a:xfrm rot="16860000">
          <a:off x="11012061" y="7187846"/>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32290</xdr:colOff>
      <xdr:row>28</xdr:row>
      <xdr:rowOff>158866</xdr:rowOff>
    </xdr:from>
    <xdr:to>
      <xdr:col>19</xdr:col>
      <xdr:colOff>473436</xdr:colOff>
      <xdr:row>30</xdr:row>
      <xdr:rowOff>18070</xdr:rowOff>
    </xdr:to>
    <xdr:sp macro="" textlink="">
      <xdr:nvSpPr>
        <xdr:cNvPr id="71" name="テキスト ボックス 70">
          <a:extLst>
            <a:ext uri="{FF2B5EF4-FFF2-40B4-BE49-F238E27FC236}">
              <a16:creationId xmlns:a16="http://schemas.microsoft.com/office/drawing/2014/main" id="{7D06094D-484A-4585-8678-B9CD3C5CB868}"/>
            </a:ext>
          </a:extLst>
        </xdr:cNvPr>
        <xdr:cNvSpPr txBox="1"/>
      </xdr:nvSpPr>
      <xdr:spPr>
        <a:xfrm>
          <a:off x="10700290" y="7245466"/>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12</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20</xdr:col>
      <xdr:colOff>119721</xdr:colOff>
      <xdr:row>23</xdr:row>
      <xdr:rowOff>31343</xdr:rowOff>
    </xdr:from>
    <xdr:to>
      <xdr:col>20</xdr:col>
      <xdr:colOff>507277</xdr:colOff>
      <xdr:row>23</xdr:row>
      <xdr:rowOff>68320</xdr:rowOff>
    </xdr:to>
    <xdr:sp macro="" textlink="">
      <xdr:nvSpPr>
        <xdr:cNvPr id="72" name="フリーフォーム: 図形 71">
          <a:extLst>
            <a:ext uri="{FF2B5EF4-FFF2-40B4-BE49-F238E27FC236}">
              <a16:creationId xmlns:a16="http://schemas.microsoft.com/office/drawing/2014/main" id="{2EE66449-D38F-4D35-AC5E-D04F67666067}"/>
            </a:ext>
          </a:extLst>
        </xdr:cNvPr>
        <xdr:cNvSpPr/>
      </xdr:nvSpPr>
      <xdr:spPr>
        <a:xfrm>
          <a:off x="11340171" y="5879693"/>
          <a:ext cx="387556" cy="36977"/>
        </a:xfrm>
        <a:custGeom>
          <a:avLst/>
          <a:gdLst/>
          <a:ahLst/>
          <a:cxnLst/>
          <a:rect l="0" t="0" r="0" b="0"/>
          <a:pathLst>
            <a:path w="387556" h="36977">
              <a:moveTo>
                <a:pt x="0" y="0"/>
              </a:moveTo>
              <a:cubicBezTo>
                <a:pt x="176880" y="26119"/>
                <a:pt x="176880" y="26119"/>
                <a:pt x="176880" y="26119"/>
              </a:cubicBezTo>
              <a:cubicBezTo>
                <a:pt x="355362" y="36723"/>
                <a:pt x="355362" y="36723"/>
                <a:pt x="355362" y="36723"/>
              </a:cubicBezTo>
              <a:cubicBezTo>
                <a:pt x="387555" y="36976"/>
                <a:pt x="387555" y="36976"/>
                <a:pt x="387555" y="36976"/>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189349</xdr:colOff>
      <xdr:row>22</xdr:row>
      <xdr:rowOff>52553</xdr:rowOff>
    </xdr:from>
    <xdr:to>
      <xdr:col>20</xdr:col>
      <xdr:colOff>446736</xdr:colOff>
      <xdr:row>23</xdr:row>
      <xdr:rowOff>111782</xdr:rowOff>
    </xdr:to>
    <xdr:sp macro="" textlink="">
      <xdr:nvSpPr>
        <xdr:cNvPr id="73" name="テキスト ボックス 72">
          <a:extLst>
            <a:ext uri="{FF2B5EF4-FFF2-40B4-BE49-F238E27FC236}">
              <a16:creationId xmlns:a16="http://schemas.microsoft.com/office/drawing/2014/main" id="{A28A43B9-3841-42A5-963F-AD40A2B7EF8F}"/>
            </a:ext>
          </a:extLst>
        </xdr:cNvPr>
        <xdr:cNvSpPr txBox="1"/>
      </xdr:nvSpPr>
      <xdr:spPr>
        <a:xfrm>
          <a:off x="10857349" y="5653253"/>
          <a:ext cx="80983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γ=10.9[°]</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20</xdr:col>
      <xdr:colOff>507276</xdr:colOff>
      <xdr:row>15</xdr:row>
      <xdr:rowOff>0</xdr:rowOff>
    </xdr:from>
    <xdr:to>
      <xdr:col>26</xdr:col>
      <xdr:colOff>35125</xdr:colOff>
      <xdr:row>22</xdr:row>
      <xdr:rowOff>98348</xdr:rowOff>
    </xdr:to>
    <xdr:cxnSp macro="">
      <xdr:nvCxnSpPr>
        <xdr:cNvPr id="74" name="直線コネクタ 73">
          <a:extLst>
            <a:ext uri="{FF2B5EF4-FFF2-40B4-BE49-F238E27FC236}">
              <a16:creationId xmlns:a16="http://schemas.microsoft.com/office/drawing/2014/main" id="{FEC7D401-7810-4A79-9E79-2FBBBFE4D820}"/>
            </a:ext>
          </a:extLst>
        </xdr:cNvPr>
        <xdr:cNvCxnSpPr/>
      </xdr:nvCxnSpPr>
      <xdr:spPr>
        <a:xfrm>
          <a:off x="11727726" y="3867150"/>
          <a:ext cx="2842549" cy="1831898"/>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511375</xdr:colOff>
      <xdr:row>22</xdr:row>
      <xdr:rowOff>98348</xdr:rowOff>
    </xdr:from>
    <xdr:to>
      <xdr:col>26</xdr:col>
      <xdr:colOff>111325</xdr:colOff>
      <xdr:row>22</xdr:row>
      <xdr:rowOff>174548</xdr:rowOff>
    </xdr:to>
    <xdr:sp macro="" textlink="">
      <xdr:nvSpPr>
        <xdr:cNvPr id="75" name="矢印: 右 74">
          <a:extLst>
            <a:ext uri="{FF2B5EF4-FFF2-40B4-BE49-F238E27FC236}">
              <a16:creationId xmlns:a16="http://schemas.microsoft.com/office/drawing/2014/main" id="{14F2A4A5-DCE1-460D-BD5D-296C9DA8EECF}"/>
            </a:ext>
          </a:extLst>
        </xdr:cNvPr>
        <xdr:cNvSpPr/>
      </xdr:nvSpPr>
      <xdr:spPr>
        <a:xfrm rot="12780000">
          <a:off x="14494075" y="5699048"/>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41878</xdr:colOff>
      <xdr:row>22</xdr:row>
      <xdr:rowOff>16189</xdr:rowOff>
    </xdr:from>
    <xdr:to>
      <xdr:col>26</xdr:col>
      <xdr:colOff>418904</xdr:colOff>
      <xdr:row>23</xdr:row>
      <xdr:rowOff>75418</xdr:rowOff>
    </xdr:to>
    <xdr:sp macro="" textlink="">
      <xdr:nvSpPr>
        <xdr:cNvPr id="76" name="テキスト ボックス 75">
          <a:extLst>
            <a:ext uri="{FF2B5EF4-FFF2-40B4-BE49-F238E27FC236}">
              <a16:creationId xmlns:a16="http://schemas.microsoft.com/office/drawing/2014/main" id="{B7C504A7-0C1B-42CB-8ADC-57F48F7ED02D}"/>
            </a:ext>
          </a:extLst>
        </xdr:cNvPr>
        <xdr:cNvSpPr txBox="1"/>
      </xdr:nvSpPr>
      <xdr:spPr>
        <a:xfrm>
          <a:off x="14577028" y="5616889"/>
          <a:ext cx="37702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9</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20</xdr:col>
      <xdr:colOff>507276</xdr:colOff>
      <xdr:row>19</xdr:row>
      <xdr:rowOff>230665</xdr:rowOff>
    </xdr:from>
    <xdr:to>
      <xdr:col>24</xdr:col>
      <xdr:colOff>192510</xdr:colOff>
      <xdr:row>24</xdr:row>
      <xdr:rowOff>25622</xdr:rowOff>
    </xdr:to>
    <xdr:sp macro="" textlink="">
      <xdr:nvSpPr>
        <xdr:cNvPr id="77" name="フリーフォーム: 図形 76">
          <a:extLst>
            <a:ext uri="{FF2B5EF4-FFF2-40B4-BE49-F238E27FC236}">
              <a16:creationId xmlns:a16="http://schemas.microsoft.com/office/drawing/2014/main" id="{B7442CE1-EA13-4FCB-9193-F3F1AFFD88D4}"/>
            </a:ext>
          </a:extLst>
        </xdr:cNvPr>
        <xdr:cNvSpPr/>
      </xdr:nvSpPr>
      <xdr:spPr>
        <a:xfrm>
          <a:off x="11727726" y="5088415"/>
          <a:ext cx="1895034" cy="1033207"/>
        </a:xfrm>
        <a:custGeom>
          <a:avLst/>
          <a:gdLst/>
          <a:ahLst/>
          <a:cxnLst/>
          <a:rect l="0" t="0" r="0" b="0"/>
          <a:pathLst>
            <a:path w="1895034" h="1033207">
              <a:moveTo>
                <a:pt x="0" y="1033206"/>
              </a:moveTo>
              <a:cubicBezTo>
                <a:pt x="196490" y="1024627"/>
                <a:pt x="196490" y="1024627"/>
                <a:pt x="196490" y="1024627"/>
              </a:cubicBezTo>
              <a:cubicBezTo>
                <a:pt x="391485" y="998955"/>
                <a:pt x="391485" y="998955"/>
                <a:pt x="391485" y="998955"/>
              </a:cubicBezTo>
              <a:cubicBezTo>
                <a:pt x="583500" y="956387"/>
                <a:pt x="583500" y="956387"/>
                <a:pt x="583500" y="956387"/>
              </a:cubicBezTo>
              <a:cubicBezTo>
                <a:pt x="771075" y="897244"/>
                <a:pt x="771075" y="897244"/>
                <a:pt x="771075" y="897244"/>
              </a:cubicBezTo>
              <a:cubicBezTo>
                <a:pt x="952781" y="821979"/>
                <a:pt x="952781" y="821979"/>
                <a:pt x="952781" y="821979"/>
              </a:cubicBezTo>
              <a:cubicBezTo>
                <a:pt x="1127235" y="731164"/>
                <a:pt x="1127235" y="731164"/>
                <a:pt x="1127235" y="731164"/>
              </a:cubicBezTo>
              <a:cubicBezTo>
                <a:pt x="1293112" y="625489"/>
                <a:pt x="1293112" y="625489"/>
                <a:pt x="1293112" y="625489"/>
              </a:cubicBezTo>
              <a:cubicBezTo>
                <a:pt x="1449146" y="505760"/>
                <a:pt x="1449146" y="505760"/>
                <a:pt x="1449146" y="505760"/>
              </a:cubicBezTo>
              <a:cubicBezTo>
                <a:pt x="1594151" y="372887"/>
                <a:pt x="1594151" y="372887"/>
                <a:pt x="1594151" y="372887"/>
              </a:cubicBezTo>
              <a:cubicBezTo>
                <a:pt x="1727025" y="227881"/>
                <a:pt x="1727025" y="227881"/>
                <a:pt x="1727025" y="227881"/>
              </a:cubicBezTo>
              <a:cubicBezTo>
                <a:pt x="1846754" y="71847"/>
                <a:pt x="1846754" y="71847"/>
                <a:pt x="1846754" y="71847"/>
              </a:cubicBezTo>
              <a:cubicBezTo>
                <a:pt x="1895033" y="0"/>
                <a:pt x="1895033" y="0"/>
                <a:pt x="1895033" y="0"/>
              </a:cubicBezTo>
            </a:path>
          </a:pathLst>
        </a:custGeom>
        <a:ln>
          <a:headEnd type="oval" w="sm" len="sm"/>
          <a:tailEnd type="arrow"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304635</xdr:colOff>
      <xdr:row>21</xdr:row>
      <xdr:rowOff>239336</xdr:rowOff>
    </xdr:from>
    <xdr:to>
      <xdr:col>23</xdr:col>
      <xdr:colOff>73692</xdr:colOff>
      <xdr:row>23</xdr:row>
      <xdr:rowOff>50915</xdr:rowOff>
    </xdr:to>
    <xdr:sp macro="" textlink="">
      <xdr:nvSpPr>
        <xdr:cNvPr id="78" name="テキスト ボックス 77">
          <a:extLst>
            <a:ext uri="{FF2B5EF4-FFF2-40B4-BE49-F238E27FC236}">
              <a16:creationId xmlns:a16="http://schemas.microsoft.com/office/drawing/2014/main" id="{48E6C998-C644-4C2E-A9CB-65060E6AD4A9}"/>
            </a:ext>
          </a:extLst>
        </xdr:cNvPr>
        <xdr:cNvSpPr txBox="1"/>
      </xdr:nvSpPr>
      <xdr:spPr>
        <a:xfrm>
          <a:off x="12077535" y="5592386"/>
          <a:ext cx="87395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γ=-57.2[°]</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15</xdr:col>
      <xdr:colOff>533669</xdr:colOff>
      <xdr:row>15</xdr:row>
      <xdr:rowOff>0</xdr:rowOff>
    </xdr:from>
    <xdr:to>
      <xdr:col>20</xdr:col>
      <xdr:colOff>507276</xdr:colOff>
      <xdr:row>23</xdr:row>
      <xdr:rowOff>6517</xdr:rowOff>
    </xdr:to>
    <xdr:cxnSp macro="">
      <xdr:nvCxnSpPr>
        <xdr:cNvPr id="79" name="直線コネクタ 78">
          <a:extLst>
            <a:ext uri="{FF2B5EF4-FFF2-40B4-BE49-F238E27FC236}">
              <a16:creationId xmlns:a16="http://schemas.microsoft.com/office/drawing/2014/main" id="{E220EEFE-EED1-48CE-8420-D3B3CCC6598B}"/>
            </a:ext>
          </a:extLst>
        </xdr:cNvPr>
        <xdr:cNvCxnSpPr/>
      </xdr:nvCxnSpPr>
      <xdr:spPr>
        <a:xfrm flipH="1">
          <a:off x="8991869" y="3867150"/>
          <a:ext cx="2735857" cy="1987717"/>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457469</xdr:colOff>
      <xdr:row>23</xdr:row>
      <xdr:rowOff>6517</xdr:rowOff>
    </xdr:from>
    <xdr:to>
      <xdr:col>16</xdr:col>
      <xdr:colOff>57419</xdr:colOff>
      <xdr:row>23</xdr:row>
      <xdr:rowOff>82717</xdr:rowOff>
    </xdr:to>
    <xdr:sp macro="" textlink="">
      <xdr:nvSpPr>
        <xdr:cNvPr id="80" name="矢印: 右 79">
          <a:extLst>
            <a:ext uri="{FF2B5EF4-FFF2-40B4-BE49-F238E27FC236}">
              <a16:creationId xmlns:a16="http://schemas.microsoft.com/office/drawing/2014/main" id="{4719B18A-2555-46A9-BDE1-6E8C517C5430}"/>
            </a:ext>
          </a:extLst>
        </xdr:cNvPr>
        <xdr:cNvSpPr/>
      </xdr:nvSpPr>
      <xdr:spPr>
        <a:xfrm rot="19440000">
          <a:off x="8915669" y="5854867"/>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558474</xdr:colOff>
      <xdr:row>22</xdr:row>
      <xdr:rowOff>186638</xdr:rowOff>
    </xdr:from>
    <xdr:to>
      <xdr:col>15</xdr:col>
      <xdr:colOff>390020</xdr:colOff>
      <xdr:row>23</xdr:row>
      <xdr:rowOff>245867</xdr:rowOff>
    </xdr:to>
    <xdr:sp macro="" textlink="">
      <xdr:nvSpPr>
        <xdr:cNvPr id="81" name="テキスト ボックス 80">
          <a:extLst>
            <a:ext uri="{FF2B5EF4-FFF2-40B4-BE49-F238E27FC236}">
              <a16:creationId xmlns:a16="http://schemas.microsoft.com/office/drawing/2014/main" id="{7AD65C1F-2D1D-472A-B95F-3F147D8A91C6}"/>
            </a:ext>
          </a:extLst>
        </xdr:cNvPr>
        <xdr:cNvSpPr txBox="1"/>
      </xdr:nvSpPr>
      <xdr:spPr>
        <a:xfrm>
          <a:off x="8407074" y="5787338"/>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14</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17</xdr:col>
      <xdr:colOff>174911</xdr:colOff>
      <xdr:row>20</xdr:row>
      <xdr:rowOff>207363</xdr:rowOff>
    </xdr:from>
    <xdr:to>
      <xdr:col>20</xdr:col>
      <xdr:colOff>507277</xdr:colOff>
      <xdr:row>24</xdr:row>
      <xdr:rowOff>230574</xdr:rowOff>
    </xdr:to>
    <xdr:sp macro="" textlink="">
      <xdr:nvSpPr>
        <xdr:cNvPr id="82" name="フリーフォーム: 図形 81">
          <a:extLst>
            <a:ext uri="{FF2B5EF4-FFF2-40B4-BE49-F238E27FC236}">
              <a16:creationId xmlns:a16="http://schemas.microsoft.com/office/drawing/2014/main" id="{CD7F017C-7214-442E-8BC9-5C4550792267}"/>
            </a:ext>
          </a:extLst>
        </xdr:cNvPr>
        <xdr:cNvSpPr/>
      </xdr:nvSpPr>
      <xdr:spPr>
        <a:xfrm>
          <a:off x="9738011" y="5312763"/>
          <a:ext cx="1989716" cy="1013811"/>
        </a:xfrm>
        <a:custGeom>
          <a:avLst/>
          <a:gdLst/>
          <a:ahLst/>
          <a:cxnLst/>
          <a:rect l="0" t="0" r="0" b="0"/>
          <a:pathLst>
            <a:path w="1989716" h="1013811">
              <a:moveTo>
                <a:pt x="0" y="0"/>
              </a:moveTo>
              <a:cubicBezTo>
                <a:pt x="133566" y="167914"/>
                <a:pt x="133566" y="167914"/>
                <a:pt x="133566" y="167914"/>
              </a:cubicBezTo>
              <a:cubicBezTo>
                <a:pt x="281257" y="323548"/>
                <a:pt x="281257" y="323548"/>
                <a:pt x="281257" y="323548"/>
              </a:cubicBezTo>
              <a:cubicBezTo>
                <a:pt x="441951" y="465718"/>
                <a:pt x="441951" y="465718"/>
                <a:pt x="441951" y="465718"/>
              </a:cubicBezTo>
              <a:cubicBezTo>
                <a:pt x="614423" y="593341"/>
                <a:pt x="614423" y="593341"/>
                <a:pt x="614423" y="593341"/>
              </a:cubicBezTo>
              <a:cubicBezTo>
                <a:pt x="797363" y="705447"/>
                <a:pt x="797363" y="705447"/>
                <a:pt x="797363" y="705447"/>
              </a:cubicBezTo>
              <a:cubicBezTo>
                <a:pt x="989378" y="801182"/>
                <a:pt x="989378" y="801182"/>
                <a:pt x="989378" y="801182"/>
              </a:cubicBezTo>
              <a:cubicBezTo>
                <a:pt x="1189005" y="879817"/>
                <a:pt x="1189005" y="879817"/>
                <a:pt x="1189005" y="879817"/>
              </a:cubicBezTo>
              <a:cubicBezTo>
                <a:pt x="1394727" y="940755"/>
                <a:pt x="1394727" y="940755"/>
                <a:pt x="1394727" y="940755"/>
              </a:cubicBezTo>
              <a:cubicBezTo>
                <a:pt x="1604976" y="983530"/>
                <a:pt x="1604976" y="983530"/>
                <a:pt x="1604976" y="983530"/>
              </a:cubicBezTo>
              <a:cubicBezTo>
                <a:pt x="1818154" y="1007819"/>
                <a:pt x="1818154" y="1007819"/>
                <a:pt x="1818154" y="1007819"/>
              </a:cubicBezTo>
              <a:cubicBezTo>
                <a:pt x="1989715" y="1013810"/>
                <a:pt x="1989715" y="1013810"/>
                <a:pt x="1989715" y="1013810"/>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470968</xdr:colOff>
      <xdr:row>22</xdr:row>
      <xdr:rowOff>203661</xdr:rowOff>
    </xdr:from>
    <xdr:to>
      <xdr:col>19</xdr:col>
      <xdr:colOff>85752</xdr:colOff>
      <xdr:row>24</xdr:row>
      <xdr:rowOff>15240</xdr:rowOff>
    </xdr:to>
    <xdr:sp macro="" textlink="">
      <xdr:nvSpPr>
        <xdr:cNvPr id="83" name="テキスト ボックス 82">
          <a:extLst>
            <a:ext uri="{FF2B5EF4-FFF2-40B4-BE49-F238E27FC236}">
              <a16:creationId xmlns:a16="http://schemas.microsoft.com/office/drawing/2014/main" id="{47D9268C-A2B0-4F51-98FB-FC26DF5105FB}"/>
            </a:ext>
          </a:extLst>
        </xdr:cNvPr>
        <xdr:cNvSpPr txBox="1"/>
      </xdr:nvSpPr>
      <xdr:spPr>
        <a:xfrm>
          <a:off x="10034068" y="5804361"/>
          <a:ext cx="719684"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γ=54[°]</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twoCellAnchor>
    <xdr:from>
      <xdr:col>14</xdr:col>
      <xdr:colOff>570096</xdr:colOff>
      <xdr:row>15</xdr:row>
      <xdr:rowOff>0</xdr:rowOff>
    </xdr:from>
    <xdr:to>
      <xdr:col>20</xdr:col>
      <xdr:colOff>507276</xdr:colOff>
      <xdr:row>17</xdr:row>
      <xdr:rowOff>202022</xdr:rowOff>
    </xdr:to>
    <xdr:cxnSp macro="">
      <xdr:nvCxnSpPr>
        <xdr:cNvPr id="84" name="直線コネクタ 83">
          <a:extLst>
            <a:ext uri="{FF2B5EF4-FFF2-40B4-BE49-F238E27FC236}">
              <a16:creationId xmlns:a16="http://schemas.microsoft.com/office/drawing/2014/main" id="{338ED123-49F7-4C64-841B-27A23FAB60F9}"/>
            </a:ext>
          </a:extLst>
        </xdr:cNvPr>
        <xdr:cNvCxnSpPr/>
      </xdr:nvCxnSpPr>
      <xdr:spPr>
        <a:xfrm flipH="1">
          <a:off x="8418696" y="3867150"/>
          <a:ext cx="3309030" cy="697322"/>
        </a:xfrm>
        <a:prstGeom prst="line">
          <a:avLst/>
        </a:prstGeom>
        <a:ln w="9525" cmpd="sng">
          <a:solidFill>
            <a:srgbClr xmlns:mc="http://schemas.openxmlformats.org/markup-compatibility/2006" xmlns:a14="http://schemas.microsoft.com/office/drawing/2010/main" val="FF0000" mc:Ignorable="a14" a14:legacySpreadsheetColorIndex="10"/>
          </a:solidFill>
          <a:prstDash val="solid"/>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493896</xdr:colOff>
      <xdr:row>17</xdr:row>
      <xdr:rowOff>202022</xdr:rowOff>
    </xdr:from>
    <xdr:to>
      <xdr:col>15</xdr:col>
      <xdr:colOff>36696</xdr:colOff>
      <xdr:row>18</xdr:row>
      <xdr:rowOff>30572</xdr:rowOff>
    </xdr:to>
    <xdr:sp macro="" textlink="">
      <xdr:nvSpPr>
        <xdr:cNvPr id="85" name="矢印: 右 84">
          <a:extLst>
            <a:ext uri="{FF2B5EF4-FFF2-40B4-BE49-F238E27FC236}">
              <a16:creationId xmlns:a16="http://schemas.microsoft.com/office/drawing/2014/main" id="{A0242B68-380A-495C-9D32-CC8332CD236D}"/>
            </a:ext>
          </a:extLst>
        </xdr:cNvPr>
        <xdr:cNvSpPr/>
      </xdr:nvSpPr>
      <xdr:spPr>
        <a:xfrm rot="20880000">
          <a:off x="8342496" y="4564472"/>
          <a:ext cx="152400" cy="76200"/>
        </a:xfrm>
        <a:prstGeom prst="rightArrow">
          <a:avLst/>
        </a:prstGeom>
        <a:solidFill>
          <a:srgbClr xmlns:mc="http://schemas.openxmlformats.org/markup-compatibility/2006" xmlns:a14="http://schemas.microsoft.com/office/drawing/2010/main" val="FF0000" mc:Ignorable="a14" a14:legacySpreadsheetColorIndex="10"/>
        </a:solidFill>
        <a:ln w="952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541088</xdr:colOff>
      <xdr:row>17</xdr:row>
      <xdr:rowOff>13340</xdr:rowOff>
    </xdr:from>
    <xdr:to>
      <xdr:col>14</xdr:col>
      <xdr:colOff>372634</xdr:colOff>
      <xdr:row>18</xdr:row>
      <xdr:rowOff>72569</xdr:rowOff>
    </xdr:to>
    <xdr:sp macro="" textlink="">
      <xdr:nvSpPr>
        <xdr:cNvPr id="86" name="テキスト ボックス 85">
          <a:extLst>
            <a:ext uri="{FF2B5EF4-FFF2-40B4-BE49-F238E27FC236}">
              <a16:creationId xmlns:a16="http://schemas.microsoft.com/office/drawing/2014/main" id="{07D76751-E775-47B5-9A2A-833F6025A9AB}"/>
            </a:ext>
          </a:extLst>
        </xdr:cNvPr>
        <xdr:cNvSpPr txBox="1"/>
      </xdr:nvSpPr>
      <xdr:spPr>
        <a:xfrm>
          <a:off x="7780088" y="4375790"/>
          <a:ext cx="441146"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n-US" altLang="ja-JP" sz="1000" b="0" i="0" u="none" strike="noStrike" baseline="0">
              <a:solidFill>
                <a:srgbClr val="000000"/>
              </a:solidFill>
              <a:latin typeface="ＭＳ Ｐゴシック" panose="020B0600070205080204" pitchFamily="50" charset="-128"/>
            </a:rPr>
            <a:t>16</a:t>
          </a:r>
          <a:r>
            <a:rPr kumimoji="1" lang="ja-JP" altLang="en-US" sz="1000" b="0" i="0" u="none" strike="noStrike" baseline="0">
              <a:solidFill>
                <a:srgbClr val="000000"/>
              </a:solidFill>
              <a:latin typeface="ＭＳ Ｐゴシック" panose="020B0600070205080204" pitchFamily="50" charset="-128"/>
            </a:rPr>
            <a:t>時</a:t>
          </a:r>
        </a:p>
      </xdr:txBody>
    </xdr:sp>
    <xdr:clientData/>
  </xdr:twoCellAnchor>
  <xdr:twoCellAnchor>
    <xdr:from>
      <xdr:col>16</xdr:col>
      <xdr:colOff>109962</xdr:colOff>
      <xdr:row>17</xdr:row>
      <xdr:rowOff>54105</xdr:rowOff>
    </xdr:from>
    <xdr:to>
      <xdr:col>20</xdr:col>
      <xdr:colOff>507277</xdr:colOff>
      <xdr:row>25</xdr:row>
      <xdr:rowOff>187876</xdr:rowOff>
    </xdr:to>
    <xdr:sp macro="" textlink="">
      <xdr:nvSpPr>
        <xdr:cNvPr id="87" name="フリーフォーム: 図形 86">
          <a:extLst>
            <a:ext uri="{FF2B5EF4-FFF2-40B4-BE49-F238E27FC236}">
              <a16:creationId xmlns:a16="http://schemas.microsoft.com/office/drawing/2014/main" id="{F7DAE838-304A-4C3D-A7F0-6AC0A5B16248}"/>
            </a:ext>
          </a:extLst>
        </xdr:cNvPr>
        <xdr:cNvSpPr/>
      </xdr:nvSpPr>
      <xdr:spPr>
        <a:xfrm>
          <a:off x="9120612" y="4416555"/>
          <a:ext cx="2607115" cy="2114971"/>
        </a:xfrm>
        <a:custGeom>
          <a:avLst/>
          <a:gdLst/>
          <a:ahLst/>
          <a:cxnLst/>
          <a:rect l="0" t="0" r="0" b="0"/>
          <a:pathLst>
            <a:path w="2607115" h="2114971">
              <a:moveTo>
                <a:pt x="0" y="0"/>
              </a:moveTo>
              <a:cubicBezTo>
                <a:pt x="57805" y="225135"/>
                <a:pt x="57805" y="225135"/>
                <a:pt x="57805" y="225135"/>
              </a:cubicBezTo>
              <a:cubicBezTo>
                <a:pt x="135011" y="444374"/>
                <a:pt x="135011" y="444374"/>
                <a:pt x="135011" y="444374"/>
              </a:cubicBezTo>
              <a:cubicBezTo>
                <a:pt x="231031" y="656050"/>
                <a:pt x="231031" y="656050"/>
                <a:pt x="231031" y="656050"/>
              </a:cubicBezTo>
              <a:cubicBezTo>
                <a:pt x="345135" y="858552"/>
                <a:pt x="345135" y="858552"/>
                <a:pt x="345135" y="858552"/>
              </a:cubicBezTo>
              <a:cubicBezTo>
                <a:pt x="476454" y="1050339"/>
                <a:pt x="476454" y="1050339"/>
                <a:pt x="476454" y="1050339"/>
              </a:cubicBezTo>
              <a:cubicBezTo>
                <a:pt x="623989" y="1229951"/>
                <a:pt x="623989" y="1229951"/>
                <a:pt x="623989" y="1229951"/>
              </a:cubicBezTo>
              <a:cubicBezTo>
                <a:pt x="786617" y="1396020"/>
                <a:pt x="786617" y="1396020"/>
                <a:pt x="786617" y="1396020"/>
              </a:cubicBezTo>
              <a:cubicBezTo>
                <a:pt x="963100" y="1547285"/>
                <a:pt x="963100" y="1547285"/>
                <a:pt x="963100" y="1547285"/>
              </a:cubicBezTo>
              <a:cubicBezTo>
                <a:pt x="1152094" y="1682591"/>
                <a:pt x="1152094" y="1682591"/>
                <a:pt x="1152094" y="1682591"/>
              </a:cubicBezTo>
              <a:cubicBezTo>
                <a:pt x="1352162" y="1800912"/>
                <a:pt x="1352162" y="1800912"/>
                <a:pt x="1352162" y="1800912"/>
              </a:cubicBezTo>
              <a:cubicBezTo>
                <a:pt x="1561781" y="1901344"/>
                <a:pt x="1561781" y="1901344"/>
                <a:pt x="1561781" y="1901344"/>
              </a:cubicBezTo>
              <a:cubicBezTo>
                <a:pt x="1779355" y="1983125"/>
                <a:pt x="1779355" y="1983125"/>
                <a:pt x="1779355" y="1983125"/>
              </a:cubicBezTo>
              <a:cubicBezTo>
                <a:pt x="2003230" y="2045632"/>
                <a:pt x="2003230" y="2045632"/>
                <a:pt x="2003230" y="2045632"/>
              </a:cubicBezTo>
              <a:cubicBezTo>
                <a:pt x="2231700" y="2088389"/>
                <a:pt x="2231700" y="2088389"/>
                <a:pt x="2231700" y="2088389"/>
              </a:cubicBezTo>
              <a:cubicBezTo>
                <a:pt x="2463027" y="2111071"/>
                <a:pt x="2463027" y="2111071"/>
                <a:pt x="2463027" y="2111071"/>
              </a:cubicBezTo>
              <a:cubicBezTo>
                <a:pt x="2607114" y="2114970"/>
                <a:pt x="2607114" y="2114970"/>
                <a:pt x="2607114" y="2114970"/>
              </a:cubicBezTo>
            </a:path>
          </a:pathLst>
        </a:custGeom>
        <a:ln>
          <a:headEnd type="arrow" w="sm" len="sm"/>
          <a:tailEnd type="oval" w="sm"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362805</xdr:colOff>
      <xdr:row>22</xdr:row>
      <xdr:rowOff>81443</xdr:rowOff>
    </xdr:from>
    <xdr:to>
      <xdr:col>18</xdr:col>
      <xdr:colOff>67742</xdr:colOff>
      <xdr:row>23</xdr:row>
      <xdr:rowOff>140672</xdr:rowOff>
    </xdr:to>
    <xdr:sp macro="" textlink="">
      <xdr:nvSpPr>
        <xdr:cNvPr id="88" name="テキスト ボックス 87">
          <a:extLst>
            <a:ext uri="{FF2B5EF4-FFF2-40B4-BE49-F238E27FC236}">
              <a16:creationId xmlns:a16="http://schemas.microsoft.com/office/drawing/2014/main" id="{36C5A479-29BD-4931-A748-FAAB268B8AFB}"/>
            </a:ext>
          </a:extLst>
        </xdr:cNvPr>
        <xdr:cNvSpPr txBox="1"/>
      </xdr:nvSpPr>
      <xdr:spPr>
        <a:xfrm>
          <a:off x="9373455" y="5682143"/>
          <a:ext cx="809837" cy="306879"/>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el-GR" altLang="ja-JP" sz="1000" b="0" i="0" u="none" strike="noStrike" baseline="0">
              <a:solidFill>
                <a:srgbClr val="000000"/>
              </a:solidFill>
              <a:latin typeface="ＭＳ Ｐゴシック" panose="020B0600070205080204" pitchFamily="50" charset="-128"/>
            </a:rPr>
            <a:t>γ=78.1[°]</a:t>
          </a:r>
          <a:endParaRPr kumimoji="1" lang="ja-JP" altLang="en-US" sz="1000" b="0" i="0" u="none" strike="noStrike" baseline="0">
            <a:solidFill>
              <a:srgbClr val="000000"/>
            </a:solidFill>
            <a:latin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285750</xdr:colOff>
      <xdr:row>1</xdr:row>
      <xdr:rowOff>3626</xdr:rowOff>
    </xdr:from>
    <xdr:to>
      <xdr:col>7</xdr:col>
      <xdr:colOff>495300</xdr:colOff>
      <xdr:row>8</xdr:row>
      <xdr:rowOff>74757</xdr:rowOff>
    </xdr:to>
    <xdr:grpSp>
      <xdr:nvGrpSpPr>
        <xdr:cNvPr id="2" name="グループ化 1">
          <a:extLst>
            <a:ext uri="{FF2B5EF4-FFF2-40B4-BE49-F238E27FC236}">
              <a16:creationId xmlns:a16="http://schemas.microsoft.com/office/drawing/2014/main" id="{5B1E5DC5-B0D0-4F8B-A202-B74A303C351C}"/>
            </a:ext>
          </a:extLst>
        </xdr:cNvPr>
        <xdr:cNvGrpSpPr/>
      </xdr:nvGrpSpPr>
      <xdr:grpSpPr>
        <a:xfrm>
          <a:off x="2503539" y="336694"/>
          <a:ext cx="1871816" cy="1413234"/>
          <a:chOff x="2346614" y="371637"/>
          <a:chExt cx="1755197" cy="1404631"/>
        </a:xfrm>
      </xdr:grpSpPr>
      <xdr:sp macro="" textlink="">
        <xdr:nvSpPr>
          <xdr:cNvPr id="3" name="Line 2">
            <a:extLst>
              <a:ext uri="{FF2B5EF4-FFF2-40B4-BE49-F238E27FC236}">
                <a16:creationId xmlns:a16="http://schemas.microsoft.com/office/drawing/2014/main" id="{5A60E460-FE17-41C7-9281-206008788770}"/>
              </a:ext>
            </a:extLst>
          </xdr:cNvPr>
          <xdr:cNvSpPr>
            <a:spLocks noChangeShapeType="1"/>
          </xdr:cNvSpPr>
        </xdr:nvSpPr>
        <xdr:spPr bwMode="auto">
          <a:xfrm flipV="1">
            <a:off x="3701761" y="1093643"/>
            <a:ext cx="0" cy="295275"/>
          </a:xfrm>
          <a:prstGeom prst="line">
            <a:avLst/>
          </a:prstGeom>
          <a:noFill/>
          <a:ln w="1">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4" name="Line 4">
            <a:extLst>
              <a:ext uri="{FF2B5EF4-FFF2-40B4-BE49-F238E27FC236}">
                <a16:creationId xmlns:a16="http://schemas.microsoft.com/office/drawing/2014/main" id="{7CA6C6C5-9CD3-40A4-A430-85DFF850D425}"/>
              </a:ext>
            </a:extLst>
          </xdr:cNvPr>
          <xdr:cNvSpPr>
            <a:spLocks noChangeShapeType="1"/>
          </xdr:cNvSpPr>
        </xdr:nvSpPr>
        <xdr:spPr bwMode="auto">
          <a:xfrm>
            <a:off x="3129395" y="665018"/>
            <a:ext cx="0"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5">
            <a:extLst>
              <a:ext uri="{FF2B5EF4-FFF2-40B4-BE49-F238E27FC236}">
                <a16:creationId xmlns:a16="http://schemas.microsoft.com/office/drawing/2014/main" id="{BCA425C6-0A34-4FA2-94AB-5A823EB99841}"/>
              </a:ext>
            </a:extLst>
          </xdr:cNvPr>
          <xdr:cNvSpPr>
            <a:spLocks noChangeShapeType="1"/>
          </xdr:cNvSpPr>
        </xdr:nvSpPr>
        <xdr:spPr bwMode="auto">
          <a:xfrm>
            <a:off x="3129395" y="941243"/>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6">
            <a:extLst>
              <a:ext uri="{FF2B5EF4-FFF2-40B4-BE49-F238E27FC236}">
                <a16:creationId xmlns:a16="http://schemas.microsoft.com/office/drawing/2014/main" id="{5E5D1137-F08F-43CE-A336-9571D2B1D03E}"/>
              </a:ext>
            </a:extLst>
          </xdr:cNvPr>
          <xdr:cNvSpPr>
            <a:spLocks noChangeShapeType="1"/>
          </xdr:cNvSpPr>
        </xdr:nvSpPr>
        <xdr:spPr bwMode="auto">
          <a:xfrm flipV="1">
            <a:off x="3243695" y="884093"/>
            <a:ext cx="0"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7">
            <a:extLst>
              <a:ext uri="{FF2B5EF4-FFF2-40B4-BE49-F238E27FC236}">
                <a16:creationId xmlns:a16="http://schemas.microsoft.com/office/drawing/2014/main" id="{64544C9A-01AB-493E-9FE6-EA8B1D1C917D}"/>
              </a:ext>
            </a:extLst>
          </xdr:cNvPr>
          <xdr:cNvSpPr>
            <a:spLocks noChangeShapeType="1"/>
          </xdr:cNvSpPr>
        </xdr:nvSpPr>
        <xdr:spPr bwMode="auto">
          <a:xfrm>
            <a:off x="3129395" y="6650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 name="Line 8">
            <a:extLst>
              <a:ext uri="{FF2B5EF4-FFF2-40B4-BE49-F238E27FC236}">
                <a16:creationId xmlns:a16="http://schemas.microsoft.com/office/drawing/2014/main" id="{6405609C-3DBC-4FC5-BC89-ABF1436D657D}"/>
              </a:ext>
            </a:extLst>
          </xdr:cNvPr>
          <xdr:cNvSpPr>
            <a:spLocks noChangeShapeType="1"/>
          </xdr:cNvSpPr>
        </xdr:nvSpPr>
        <xdr:spPr bwMode="auto">
          <a:xfrm>
            <a:off x="3243695" y="665018"/>
            <a:ext cx="0" cy="10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 name="Line 9">
            <a:extLst>
              <a:ext uri="{FF2B5EF4-FFF2-40B4-BE49-F238E27FC236}">
                <a16:creationId xmlns:a16="http://schemas.microsoft.com/office/drawing/2014/main" id="{1F67EE21-0B3C-4FCB-AF4C-6875363CF3EA}"/>
              </a:ext>
            </a:extLst>
          </xdr:cNvPr>
          <xdr:cNvSpPr>
            <a:spLocks noChangeShapeType="1"/>
          </xdr:cNvSpPr>
        </xdr:nvSpPr>
        <xdr:spPr bwMode="auto">
          <a:xfrm>
            <a:off x="3243695" y="769793"/>
            <a:ext cx="57236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 name="Line 10">
            <a:extLst>
              <a:ext uri="{FF2B5EF4-FFF2-40B4-BE49-F238E27FC236}">
                <a16:creationId xmlns:a16="http://schemas.microsoft.com/office/drawing/2014/main" id="{3CF45E5D-B723-439D-BC11-FAC55346144D}"/>
              </a:ext>
            </a:extLst>
          </xdr:cNvPr>
          <xdr:cNvSpPr>
            <a:spLocks noChangeShapeType="1"/>
          </xdr:cNvSpPr>
        </xdr:nvSpPr>
        <xdr:spPr bwMode="auto">
          <a:xfrm>
            <a:off x="3243695" y="884093"/>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 name="Line 11">
            <a:extLst>
              <a:ext uri="{FF2B5EF4-FFF2-40B4-BE49-F238E27FC236}">
                <a16:creationId xmlns:a16="http://schemas.microsoft.com/office/drawing/2014/main" id="{C1D45891-679F-4E07-A080-57E19582F27C}"/>
              </a:ext>
            </a:extLst>
          </xdr:cNvPr>
          <xdr:cNvSpPr>
            <a:spLocks noChangeShapeType="1"/>
          </xdr:cNvSpPr>
        </xdr:nvSpPr>
        <xdr:spPr bwMode="auto">
          <a:xfrm>
            <a:off x="3644611" y="884093"/>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 name="Line 12">
            <a:extLst>
              <a:ext uri="{FF2B5EF4-FFF2-40B4-BE49-F238E27FC236}">
                <a16:creationId xmlns:a16="http://schemas.microsoft.com/office/drawing/2014/main" id="{6D21DFD3-DDE9-400F-94B3-F33D776D7B89}"/>
              </a:ext>
            </a:extLst>
          </xdr:cNvPr>
          <xdr:cNvSpPr>
            <a:spLocks noChangeShapeType="1"/>
          </xdr:cNvSpPr>
        </xdr:nvSpPr>
        <xdr:spPr bwMode="auto">
          <a:xfrm>
            <a:off x="3644611" y="1093643"/>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13">
            <a:extLst>
              <a:ext uri="{FF2B5EF4-FFF2-40B4-BE49-F238E27FC236}">
                <a16:creationId xmlns:a16="http://schemas.microsoft.com/office/drawing/2014/main" id="{C008E93B-7F18-4F2E-BD97-1CFAFB5AD097}"/>
              </a:ext>
            </a:extLst>
          </xdr:cNvPr>
          <xdr:cNvSpPr>
            <a:spLocks noChangeShapeType="1"/>
          </xdr:cNvSpPr>
        </xdr:nvSpPr>
        <xdr:spPr bwMode="auto">
          <a:xfrm flipV="1">
            <a:off x="3758911" y="884093"/>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14">
            <a:extLst>
              <a:ext uri="{FF2B5EF4-FFF2-40B4-BE49-F238E27FC236}">
                <a16:creationId xmlns:a16="http://schemas.microsoft.com/office/drawing/2014/main" id="{3C97ABFD-A67A-4A8E-BF5C-2EE652DFC99D}"/>
              </a:ext>
            </a:extLst>
          </xdr:cNvPr>
          <xdr:cNvSpPr>
            <a:spLocks noChangeShapeType="1"/>
          </xdr:cNvSpPr>
        </xdr:nvSpPr>
        <xdr:spPr bwMode="auto">
          <a:xfrm>
            <a:off x="3758911" y="884093"/>
            <a:ext cx="5715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5" name="Line 15">
            <a:extLst>
              <a:ext uri="{FF2B5EF4-FFF2-40B4-BE49-F238E27FC236}">
                <a16:creationId xmlns:a16="http://schemas.microsoft.com/office/drawing/2014/main" id="{C6EC8477-22D3-495C-A265-C4C1D61528F5}"/>
              </a:ext>
            </a:extLst>
          </xdr:cNvPr>
          <xdr:cNvSpPr>
            <a:spLocks noChangeShapeType="1"/>
          </xdr:cNvSpPr>
        </xdr:nvSpPr>
        <xdr:spPr bwMode="auto">
          <a:xfrm flipV="1">
            <a:off x="3644611" y="1388917"/>
            <a:ext cx="0" cy="3857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Line 16">
            <a:extLst>
              <a:ext uri="{FF2B5EF4-FFF2-40B4-BE49-F238E27FC236}">
                <a16:creationId xmlns:a16="http://schemas.microsoft.com/office/drawing/2014/main" id="{0CD28673-0ABE-4D8B-8F89-E1A5A06E467D}"/>
              </a:ext>
            </a:extLst>
          </xdr:cNvPr>
          <xdr:cNvSpPr>
            <a:spLocks noChangeShapeType="1"/>
          </xdr:cNvSpPr>
        </xdr:nvSpPr>
        <xdr:spPr bwMode="auto">
          <a:xfrm flipV="1">
            <a:off x="3758911" y="1384155"/>
            <a:ext cx="0" cy="20478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 name="Line 17">
            <a:extLst>
              <a:ext uri="{FF2B5EF4-FFF2-40B4-BE49-F238E27FC236}">
                <a16:creationId xmlns:a16="http://schemas.microsoft.com/office/drawing/2014/main" id="{5E622046-8106-428F-9C78-1AB22476E964}"/>
              </a:ext>
            </a:extLst>
          </xdr:cNvPr>
          <xdr:cNvSpPr>
            <a:spLocks noChangeShapeType="1"/>
          </xdr:cNvSpPr>
        </xdr:nvSpPr>
        <xdr:spPr bwMode="auto">
          <a:xfrm>
            <a:off x="3644611" y="13889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 name="Line 18">
            <a:extLst>
              <a:ext uri="{FF2B5EF4-FFF2-40B4-BE49-F238E27FC236}">
                <a16:creationId xmlns:a16="http://schemas.microsoft.com/office/drawing/2014/main" id="{44B6BFD7-524B-4AE6-805B-8A1ECF0F5EA5}"/>
              </a:ext>
            </a:extLst>
          </xdr:cNvPr>
          <xdr:cNvSpPr>
            <a:spLocks noChangeShapeType="1"/>
          </xdr:cNvSpPr>
        </xdr:nvSpPr>
        <xdr:spPr bwMode="auto">
          <a:xfrm>
            <a:off x="3758911" y="1588943"/>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9" name="Line 19">
            <a:extLst>
              <a:ext uri="{FF2B5EF4-FFF2-40B4-BE49-F238E27FC236}">
                <a16:creationId xmlns:a16="http://schemas.microsoft.com/office/drawing/2014/main" id="{9BF62600-F33E-4D0D-8AC5-C9F8FE421617}"/>
              </a:ext>
            </a:extLst>
          </xdr:cNvPr>
          <xdr:cNvSpPr>
            <a:spLocks noChangeShapeType="1"/>
          </xdr:cNvSpPr>
        </xdr:nvSpPr>
        <xdr:spPr bwMode="auto">
          <a:xfrm flipH="1">
            <a:off x="3758911" y="1703243"/>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0" name="Line 20">
            <a:extLst>
              <a:ext uri="{FF2B5EF4-FFF2-40B4-BE49-F238E27FC236}">
                <a16:creationId xmlns:a16="http://schemas.microsoft.com/office/drawing/2014/main" id="{A1BC7070-AD52-4A8A-97FC-C397F71690A4}"/>
              </a:ext>
            </a:extLst>
          </xdr:cNvPr>
          <xdr:cNvSpPr>
            <a:spLocks noChangeShapeType="1"/>
          </xdr:cNvSpPr>
        </xdr:nvSpPr>
        <xdr:spPr bwMode="auto">
          <a:xfrm>
            <a:off x="3758911" y="1703243"/>
            <a:ext cx="0" cy="73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 name="Line 21">
            <a:extLst>
              <a:ext uri="{FF2B5EF4-FFF2-40B4-BE49-F238E27FC236}">
                <a16:creationId xmlns:a16="http://schemas.microsoft.com/office/drawing/2014/main" id="{EDF89073-5B10-4CE1-B68E-D8C8C71F358F}"/>
              </a:ext>
            </a:extLst>
          </xdr:cNvPr>
          <xdr:cNvSpPr>
            <a:spLocks noChangeShapeType="1"/>
          </xdr:cNvSpPr>
        </xdr:nvSpPr>
        <xdr:spPr bwMode="auto">
          <a:xfrm>
            <a:off x="3644611" y="17699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 name="Line 3">
            <a:extLst>
              <a:ext uri="{FF2B5EF4-FFF2-40B4-BE49-F238E27FC236}">
                <a16:creationId xmlns:a16="http://schemas.microsoft.com/office/drawing/2014/main" id="{9EE6C7DF-73A8-4D9F-B5FA-EE447178C898}"/>
              </a:ext>
            </a:extLst>
          </xdr:cNvPr>
          <xdr:cNvSpPr>
            <a:spLocks noChangeShapeType="1"/>
          </xdr:cNvSpPr>
        </xdr:nvSpPr>
        <xdr:spPr bwMode="auto">
          <a:xfrm flipV="1">
            <a:off x="3754677" y="535901"/>
            <a:ext cx="0" cy="176742"/>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73D5BAFC-849F-4983-8C86-85837CE179FF}"/>
              </a:ext>
            </a:extLst>
          </xdr:cNvPr>
          <xdr:cNvSpPr>
            <a:spLocks noChangeShapeType="1"/>
          </xdr:cNvSpPr>
        </xdr:nvSpPr>
        <xdr:spPr bwMode="auto">
          <a:xfrm flipV="1">
            <a:off x="3129395" y="535901"/>
            <a:ext cx="0" cy="100995"/>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4" name="Line 23">
            <a:extLst>
              <a:ext uri="{FF2B5EF4-FFF2-40B4-BE49-F238E27FC236}">
                <a16:creationId xmlns:a16="http://schemas.microsoft.com/office/drawing/2014/main" id="{D1B20211-6188-42FE-920A-23FCCF5438BF}"/>
              </a:ext>
            </a:extLst>
          </xdr:cNvPr>
          <xdr:cNvSpPr>
            <a:spLocks noChangeShapeType="1"/>
          </xdr:cNvSpPr>
        </xdr:nvSpPr>
        <xdr:spPr bwMode="auto">
          <a:xfrm>
            <a:off x="3129395" y="535901"/>
            <a:ext cx="625282"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25" name="Line 24">
            <a:extLst>
              <a:ext uri="{FF2B5EF4-FFF2-40B4-BE49-F238E27FC236}">
                <a16:creationId xmlns:a16="http://schemas.microsoft.com/office/drawing/2014/main" id="{79268AE9-7BAF-4256-AEA5-0D6278816C80}"/>
              </a:ext>
            </a:extLst>
          </xdr:cNvPr>
          <xdr:cNvSpPr>
            <a:spLocks noChangeShapeType="1"/>
          </xdr:cNvSpPr>
        </xdr:nvSpPr>
        <xdr:spPr bwMode="auto">
          <a:xfrm flipH="1">
            <a:off x="2499014" y="931718"/>
            <a:ext cx="5723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6" name="Line 25">
            <a:extLst>
              <a:ext uri="{FF2B5EF4-FFF2-40B4-BE49-F238E27FC236}">
                <a16:creationId xmlns:a16="http://schemas.microsoft.com/office/drawing/2014/main" id="{31E64D06-3982-499A-A015-20ACB45FE198}"/>
              </a:ext>
            </a:extLst>
          </xdr:cNvPr>
          <xdr:cNvSpPr>
            <a:spLocks noChangeShapeType="1"/>
          </xdr:cNvSpPr>
        </xdr:nvSpPr>
        <xdr:spPr bwMode="auto">
          <a:xfrm flipH="1">
            <a:off x="2499014" y="1731818"/>
            <a:ext cx="1030431"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7" name="Line 26">
            <a:extLst>
              <a:ext uri="{FF2B5EF4-FFF2-40B4-BE49-F238E27FC236}">
                <a16:creationId xmlns:a16="http://schemas.microsoft.com/office/drawing/2014/main" id="{96A1DD7C-DB6D-4D94-83CF-65D001BE910A}"/>
              </a:ext>
            </a:extLst>
          </xdr:cNvPr>
          <xdr:cNvSpPr>
            <a:spLocks noChangeShapeType="1"/>
          </xdr:cNvSpPr>
        </xdr:nvSpPr>
        <xdr:spPr bwMode="auto">
          <a:xfrm flipV="1">
            <a:off x="2499014" y="931717"/>
            <a:ext cx="0" cy="809625"/>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28" name="Line 27">
            <a:extLst>
              <a:ext uri="{FF2B5EF4-FFF2-40B4-BE49-F238E27FC236}">
                <a16:creationId xmlns:a16="http://schemas.microsoft.com/office/drawing/2014/main" id="{8F7B5559-EAF9-4724-AEC7-3FFFCE5240C7}"/>
              </a:ext>
            </a:extLst>
          </xdr:cNvPr>
          <xdr:cNvSpPr>
            <a:spLocks noChangeShapeType="1"/>
          </xdr:cNvSpPr>
        </xdr:nvSpPr>
        <xdr:spPr bwMode="auto">
          <a:xfrm flipH="1">
            <a:off x="2728480" y="1388918"/>
            <a:ext cx="800965"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9" name="Line 28">
            <a:extLst>
              <a:ext uri="{FF2B5EF4-FFF2-40B4-BE49-F238E27FC236}">
                <a16:creationId xmlns:a16="http://schemas.microsoft.com/office/drawing/2014/main" id="{7CEC355F-BD12-45CE-A035-86823C5AD743}"/>
              </a:ext>
            </a:extLst>
          </xdr:cNvPr>
          <xdr:cNvSpPr>
            <a:spLocks noChangeShapeType="1"/>
          </xdr:cNvSpPr>
        </xdr:nvSpPr>
        <xdr:spPr bwMode="auto">
          <a:xfrm flipV="1">
            <a:off x="2728480" y="1388918"/>
            <a:ext cx="0" cy="34290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30" name="Line 29">
            <a:extLst>
              <a:ext uri="{FF2B5EF4-FFF2-40B4-BE49-F238E27FC236}">
                <a16:creationId xmlns:a16="http://schemas.microsoft.com/office/drawing/2014/main" id="{2427F3F1-B6F1-4B96-9CCB-ADE1B6A0384C}"/>
              </a:ext>
            </a:extLst>
          </xdr:cNvPr>
          <xdr:cNvSpPr>
            <a:spLocks noChangeShapeType="1"/>
          </xdr:cNvSpPr>
        </xdr:nvSpPr>
        <xdr:spPr bwMode="auto">
          <a:xfrm flipV="1">
            <a:off x="2728480" y="1088881"/>
            <a:ext cx="0" cy="296574"/>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31" name="Line 30">
            <a:extLst>
              <a:ext uri="{FF2B5EF4-FFF2-40B4-BE49-F238E27FC236}">
                <a16:creationId xmlns:a16="http://schemas.microsoft.com/office/drawing/2014/main" id="{444C9029-7912-4859-955B-E87AB2BAA368}"/>
              </a:ext>
            </a:extLst>
          </xdr:cNvPr>
          <xdr:cNvSpPr>
            <a:spLocks noChangeShapeType="1"/>
          </xdr:cNvSpPr>
        </xdr:nvSpPr>
        <xdr:spPr bwMode="auto">
          <a:xfrm flipH="1">
            <a:off x="2728480" y="1093643"/>
            <a:ext cx="858115"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32" name="テキスト 63">
            <a:extLst>
              <a:ext uri="{FF2B5EF4-FFF2-40B4-BE49-F238E27FC236}">
                <a16:creationId xmlns:a16="http://schemas.microsoft.com/office/drawing/2014/main" id="{5A842D40-310D-420A-A2A9-C3963EC97615}"/>
              </a:ext>
            </a:extLst>
          </xdr:cNvPr>
          <xdr:cNvSpPr txBox="1">
            <a:spLocks noChangeArrowheads="1"/>
          </xdr:cNvSpPr>
        </xdr:nvSpPr>
        <xdr:spPr bwMode="auto">
          <a:xfrm>
            <a:off x="2346614" y="1222232"/>
            <a:ext cx="190500" cy="138112"/>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3" name="テキスト 64">
            <a:extLst>
              <a:ext uri="{FF2B5EF4-FFF2-40B4-BE49-F238E27FC236}">
                <a16:creationId xmlns:a16="http://schemas.microsoft.com/office/drawing/2014/main" id="{6D6F3AB2-655F-442D-AE1C-CE611631BE10}"/>
              </a:ext>
            </a:extLst>
          </xdr:cNvPr>
          <xdr:cNvSpPr txBox="1">
            <a:spLocks noChangeArrowheads="1"/>
          </xdr:cNvSpPr>
        </xdr:nvSpPr>
        <xdr:spPr bwMode="auto">
          <a:xfrm>
            <a:off x="2576080" y="1198418"/>
            <a:ext cx="209550" cy="123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4" name="テキスト 65">
            <a:extLst>
              <a:ext uri="{FF2B5EF4-FFF2-40B4-BE49-F238E27FC236}">
                <a16:creationId xmlns:a16="http://schemas.microsoft.com/office/drawing/2014/main" id="{FEF765D0-2F8B-4B11-9992-B5BE3D414962}"/>
              </a:ext>
            </a:extLst>
          </xdr:cNvPr>
          <xdr:cNvSpPr txBox="1">
            <a:spLocks noChangeArrowheads="1"/>
          </xdr:cNvSpPr>
        </xdr:nvSpPr>
        <xdr:spPr bwMode="auto">
          <a:xfrm>
            <a:off x="2576080" y="1450831"/>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5" name="テキスト 66">
            <a:extLst>
              <a:ext uri="{FF2B5EF4-FFF2-40B4-BE49-F238E27FC236}">
                <a16:creationId xmlns:a16="http://schemas.microsoft.com/office/drawing/2014/main" id="{CEB9BED9-0019-44F3-8D0F-EDE7F8A97E9C}"/>
              </a:ext>
            </a:extLst>
          </xdr:cNvPr>
          <xdr:cNvSpPr txBox="1">
            <a:spLocks noChangeArrowheads="1"/>
          </xdr:cNvSpPr>
        </xdr:nvSpPr>
        <xdr:spPr bwMode="auto">
          <a:xfrm>
            <a:off x="3359856" y="371637"/>
            <a:ext cx="133606" cy="20364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W</a:t>
            </a:r>
            <a:endParaRPr lang="ja-JP" altLang="en-US"/>
          </a:p>
        </xdr:txBody>
      </xdr:sp>
    </xdr:grpSp>
    <xdr:clientData/>
  </xdr:twoCellAnchor>
  <xdr:twoCellAnchor>
    <xdr:from>
      <xdr:col>8</xdr:col>
      <xdr:colOff>152399</xdr:colOff>
      <xdr:row>3</xdr:row>
      <xdr:rowOff>24246</xdr:rowOff>
    </xdr:from>
    <xdr:to>
      <xdr:col>13</xdr:col>
      <xdr:colOff>304799</xdr:colOff>
      <xdr:row>8</xdr:row>
      <xdr:rowOff>50827</xdr:rowOff>
    </xdr:to>
    <xdr:grpSp>
      <xdr:nvGrpSpPr>
        <xdr:cNvPr id="36" name="グループ化 35">
          <a:extLst>
            <a:ext uri="{FF2B5EF4-FFF2-40B4-BE49-F238E27FC236}">
              <a16:creationId xmlns:a16="http://schemas.microsoft.com/office/drawing/2014/main" id="{B8AB1871-D4E3-4BA1-9606-141A06F9C325}"/>
            </a:ext>
          </a:extLst>
        </xdr:cNvPr>
        <xdr:cNvGrpSpPr/>
      </xdr:nvGrpSpPr>
      <xdr:grpSpPr>
        <a:xfrm>
          <a:off x="4558479" y="740465"/>
          <a:ext cx="2909120" cy="985840"/>
          <a:chOff x="4274127" y="855518"/>
          <a:chExt cx="2728480" cy="979081"/>
        </a:xfrm>
      </xdr:grpSpPr>
      <xdr:sp macro="" textlink="">
        <xdr:nvSpPr>
          <xdr:cNvPr id="37" name="Line 37">
            <a:extLst>
              <a:ext uri="{FF2B5EF4-FFF2-40B4-BE49-F238E27FC236}">
                <a16:creationId xmlns:a16="http://schemas.microsoft.com/office/drawing/2014/main" id="{E8E661F4-D2C1-466C-8E45-3F4EA2557B53}"/>
              </a:ext>
            </a:extLst>
          </xdr:cNvPr>
          <xdr:cNvSpPr>
            <a:spLocks noChangeShapeType="1"/>
          </xdr:cNvSpPr>
        </xdr:nvSpPr>
        <xdr:spPr bwMode="auto">
          <a:xfrm>
            <a:off x="4770293" y="855518"/>
            <a:ext cx="6295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8" name="Line 38">
            <a:extLst>
              <a:ext uri="{FF2B5EF4-FFF2-40B4-BE49-F238E27FC236}">
                <a16:creationId xmlns:a16="http://schemas.microsoft.com/office/drawing/2014/main" id="{790A522F-81FA-47E3-A6AB-B1DCD32292AF}"/>
              </a:ext>
            </a:extLst>
          </xdr:cNvPr>
          <xdr:cNvSpPr>
            <a:spLocks noChangeShapeType="1"/>
          </xdr:cNvSpPr>
        </xdr:nvSpPr>
        <xdr:spPr bwMode="auto">
          <a:xfrm>
            <a:off x="5399809" y="855518"/>
            <a:ext cx="0" cy="115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9" name="Line 39">
            <a:extLst>
              <a:ext uri="{FF2B5EF4-FFF2-40B4-BE49-F238E27FC236}">
                <a16:creationId xmlns:a16="http://schemas.microsoft.com/office/drawing/2014/main" id="{A739AC8C-9F9E-418C-B7D8-E6A98E9A5BB1}"/>
              </a:ext>
            </a:extLst>
          </xdr:cNvPr>
          <xdr:cNvSpPr>
            <a:spLocks noChangeShapeType="1"/>
          </xdr:cNvSpPr>
        </xdr:nvSpPr>
        <xdr:spPr bwMode="auto">
          <a:xfrm flipH="1">
            <a:off x="4998893" y="970704"/>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0" name="Line 40">
            <a:extLst>
              <a:ext uri="{FF2B5EF4-FFF2-40B4-BE49-F238E27FC236}">
                <a16:creationId xmlns:a16="http://schemas.microsoft.com/office/drawing/2014/main" id="{27EEB330-96DA-4D08-A46A-E13C9852E11E}"/>
              </a:ext>
            </a:extLst>
          </xdr:cNvPr>
          <xdr:cNvSpPr>
            <a:spLocks noChangeShapeType="1"/>
          </xdr:cNvSpPr>
        </xdr:nvSpPr>
        <xdr:spPr bwMode="auto">
          <a:xfrm>
            <a:off x="4998893"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1" name="Line 41">
            <a:extLst>
              <a:ext uri="{FF2B5EF4-FFF2-40B4-BE49-F238E27FC236}">
                <a16:creationId xmlns:a16="http://schemas.microsoft.com/office/drawing/2014/main" id="{7D291E2B-1EC0-467F-B4B1-7904BE4947B5}"/>
              </a:ext>
            </a:extLst>
          </xdr:cNvPr>
          <xdr:cNvSpPr>
            <a:spLocks noChangeShapeType="1"/>
          </xdr:cNvSpPr>
        </xdr:nvSpPr>
        <xdr:spPr bwMode="auto">
          <a:xfrm flipH="1">
            <a:off x="4884593" y="120107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2" name="Line 42">
            <a:extLst>
              <a:ext uri="{FF2B5EF4-FFF2-40B4-BE49-F238E27FC236}">
                <a16:creationId xmlns:a16="http://schemas.microsoft.com/office/drawing/2014/main" id="{B3C8D50A-C1AA-4F7E-AC47-07A6632D2271}"/>
              </a:ext>
            </a:extLst>
          </xdr:cNvPr>
          <xdr:cNvSpPr>
            <a:spLocks noChangeShapeType="1"/>
          </xdr:cNvSpPr>
        </xdr:nvSpPr>
        <xdr:spPr bwMode="auto">
          <a:xfrm flipV="1">
            <a:off x="4884593"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3" name="Line 43">
            <a:extLst>
              <a:ext uri="{FF2B5EF4-FFF2-40B4-BE49-F238E27FC236}">
                <a16:creationId xmlns:a16="http://schemas.microsoft.com/office/drawing/2014/main" id="{22B611C8-F3CF-4BAA-BC89-54B30D77DE97}"/>
              </a:ext>
            </a:extLst>
          </xdr:cNvPr>
          <xdr:cNvSpPr>
            <a:spLocks noChangeShapeType="1"/>
          </xdr:cNvSpPr>
        </xdr:nvSpPr>
        <xdr:spPr bwMode="auto">
          <a:xfrm flipH="1">
            <a:off x="4770293" y="970704"/>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4" name="Line 44">
            <a:extLst>
              <a:ext uri="{FF2B5EF4-FFF2-40B4-BE49-F238E27FC236}">
                <a16:creationId xmlns:a16="http://schemas.microsoft.com/office/drawing/2014/main" id="{BE78FD86-18DA-4F73-8911-07C040C263B8}"/>
              </a:ext>
            </a:extLst>
          </xdr:cNvPr>
          <xdr:cNvSpPr>
            <a:spLocks noChangeShapeType="1"/>
          </xdr:cNvSpPr>
        </xdr:nvSpPr>
        <xdr:spPr bwMode="auto">
          <a:xfrm flipV="1">
            <a:off x="6315941" y="855518"/>
            <a:ext cx="68666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5" name="Line 45">
            <a:extLst>
              <a:ext uri="{FF2B5EF4-FFF2-40B4-BE49-F238E27FC236}">
                <a16:creationId xmlns:a16="http://schemas.microsoft.com/office/drawing/2014/main" id="{2BDC18FF-463A-44C3-8539-673ABDAB7F52}"/>
              </a:ext>
            </a:extLst>
          </xdr:cNvPr>
          <xdr:cNvSpPr>
            <a:spLocks noChangeShapeType="1"/>
          </xdr:cNvSpPr>
        </xdr:nvSpPr>
        <xdr:spPr bwMode="auto">
          <a:xfrm>
            <a:off x="6315941" y="855518"/>
            <a:ext cx="0" cy="115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6" name="Line 46">
            <a:extLst>
              <a:ext uri="{FF2B5EF4-FFF2-40B4-BE49-F238E27FC236}">
                <a16:creationId xmlns:a16="http://schemas.microsoft.com/office/drawing/2014/main" id="{6254919F-4B7F-4A0F-AB85-2532975AE0C1}"/>
              </a:ext>
            </a:extLst>
          </xdr:cNvPr>
          <xdr:cNvSpPr>
            <a:spLocks noChangeShapeType="1"/>
          </xdr:cNvSpPr>
        </xdr:nvSpPr>
        <xdr:spPr bwMode="auto">
          <a:xfrm>
            <a:off x="6315941" y="970704"/>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7" name="Line 47">
            <a:extLst>
              <a:ext uri="{FF2B5EF4-FFF2-40B4-BE49-F238E27FC236}">
                <a16:creationId xmlns:a16="http://schemas.microsoft.com/office/drawing/2014/main" id="{7927832F-AC96-4E59-A763-0513ACBB63B4}"/>
              </a:ext>
            </a:extLst>
          </xdr:cNvPr>
          <xdr:cNvSpPr>
            <a:spLocks noChangeShapeType="1"/>
          </xdr:cNvSpPr>
        </xdr:nvSpPr>
        <xdr:spPr bwMode="auto">
          <a:xfrm>
            <a:off x="5399809" y="913111"/>
            <a:ext cx="916132" cy="0"/>
          </a:xfrm>
          <a:prstGeom prst="line">
            <a:avLst/>
          </a:prstGeom>
          <a:noFill/>
          <a:ln w="1">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48" name="Line 48">
            <a:extLst>
              <a:ext uri="{FF2B5EF4-FFF2-40B4-BE49-F238E27FC236}">
                <a16:creationId xmlns:a16="http://schemas.microsoft.com/office/drawing/2014/main" id="{DA049697-3FD8-4AF5-A5F8-B4CE27A49FAB}"/>
              </a:ext>
            </a:extLst>
          </xdr:cNvPr>
          <xdr:cNvSpPr>
            <a:spLocks noChangeShapeType="1"/>
          </xdr:cNvSpPr>
        </xdr:nvSpPr>
        <xdr:spPr bwMode="auto">
          <a:xfrm>
            <a:off x="6831157"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 name="Line 49">
            <a:extLst>
              <a:ext uri="{FF2B5EF4-FFF2-40B4-BE49-F238E27FC236}">
                <a16:creationId xmlns:a16="http://schemas.microsoft.com/office/drawing/2014/main" id="{8093B00F-943D-4088-B9AE-9568DB06BA5A}"/>
              </a:ext>
            </a:extLst>
          </xdr:cNvPr>
          <xdr:cNvSpPr>
            <a:spLocks noChangeShapeType="1"/>
          </xdr:cNvSpPr>
        </xdr:nvSpPr>
        <xdr:spPr bwMode="auto">
          <a:xfrm flipH="1">
            <a:off x="6716857" y="120107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0" name="Line 50">
            <a:extLst>
              <a:ext uri="{FF2B5EF4-FFF2-40B4-BE49-F238E27FC236}">
                <a16:creationId xmlns:a16="http://schemas.microsoft.com/office/drawing/2014/main" id="{9336B185-B6E9-4D81-A2CA-8549106CBE33}"/>
              </a:ext>
            </a:extLst>
          </xdr:cNvPr>
          <xdr:cNvSpPr>
            <a:spLocks noChangeShapeType="1"/>
          </xdr:cNvSpPr>
        </xdr:nvSpPr>
        <xdr:spPr bwMode="auto">
          <a:xfrm flipV="1">
            <a:off x="6716857"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1" name="Line 51">
            <a:extLst>
              <a:ext uri="{FF2B5EF4-FFF2-40B4-BE49-F238E27FC236}">
                <a16:creationId xmlns:a16="http://schemas.microsoft.com/office/drawing/2014/main" id="{58D1BBF2-1F5D-43BF-8D4C-CAFC884E3E95}"/>
              </a:ext>
            </a:extLst>
          </xdr:cNvPr>
          <xdr:cNvSpPr>
            <a:spLocks noChangeShapeType="1"/>
          </xdr:cNvSpPr>
        </xdr:nvSpPr>
        <xdr:spPr bwMode="auto">
          <a:xfrm>
            <a:off x="6831157" y="970704"/>
            <a:ext cx="171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2" name="Line 52">
            <a:extLst>
              <a:ext uri="{FF2B5EF4-FFF2-40B4-BE49-F238E27FC236}">
                <a16:creationId xmlns:a16="http://schemas.microsoft.com/office/drawing/2014/main" id="{B62083E6-911F-4234-A70F-E84375545C1A}"/>
              </a:ext>
            </a:extLst>
          </xdr:cNvPr>
          <xdr:cNvSpPr>
            <a:spLocks noChangeShapeType="1"/>
          </xdr:cNvSpPr>
        </xdr:nvSpPr>
        <xdr:spPr bwMode="auto">
          <a:xfrm>
            <a:off x="5399809" y="1028297"/>
            <a:ext cx="0" cy="460744"/>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3" name="Line 53">
            <a:extLst>
              <a:ext uri="{FF2B5EF4-FFF2-40B4-BE49-F238E27FC236}">
                <a16:creationId xmlns:a16="http://schemas.microsoft.com/office/drawing/2014/main" id="{1FCD257C-2A5C-4C09-92DE-C019F48B0961}"/>
              </a:ext>
            </a:extLst>
          </xdr:cNvPr>
          <xdr:cNvSpPr>
            <a:spLocks noChangeShapeType="1"/>
          </xdr:cNvSpPr>
        </xdr:nvSpPr>
        <xdr:spPr bwMode="auto">
          <a:xfrm>
            <a:off x="6315941" y="1028297"/>
            <a:ext cx="0" cy="460744"/>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4" name="Line 54">
            <a:extLst>
              <a:ext uri="{FF2B5EF4-FFF2-40B4-BE49-F238E27FC236}">
                <a16:creationId xmlns:a16="http://schemas.microsoft.com/office/drawing/2014/main" id="{91123B36-9661-419E-A0B4-9316ADC7EFD6}"/>
              </a:ext>
            </a:extLst>
          </xdr:cNvPr>
          <xdr:cNvSpPr>
            <a:spLocks noChangeShapeType="1"/>
          </xdr:cNvSpPr>
        </xdr:nvSpPr>
        <xdr:spPr bwMode="auto">
          <a:xfrm>
            <a:off x="4998893" y="1258669"/>
            <a:ext cx="0" cy="57593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5" name="Line 55">
            <a:extLst>
              <a:ext uri="{FF2B5EF4-FFF2-40B4-BE49-F238E27FC236}">
                <a16:creationId xmlns:a16="http://schemas.microsoft.com/office/drawing/2014/main" id="{ADE4D964-17B5-4803-974A-568E74E39418}"/>
              </a:ext>
            </a:extLst>
          </xdr:cNvPr>
          <xdr:cNvSpPr>
            <a:spLocks noChangeShapeType="1"/>
          </xdr:cNvSpPr>
        </xdr:nvSpPr>
        <xdr:spPr bwMode="auto">
          <a:xfrm>
            <a:off x="6716857" y="1258669"/>
            <a:ext cx="0" cy="57593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6" name="Line 56">
            <a:extLst>
              <a:ext uri="{FF2B5EF4-FFF2-40B4-BE49-F238E27FC236}">
                <a16:creationId xmlns:a16="http://schemas.microsoft.com/office/drawing/2014/main" id="{285B4946-E116-4CB2-B1A2-2EF8C6117B26}"/>
              </a:ext>
            </a:extLst>
          </xdr:cNvPr>
          <xdr:cNvSpPr>
            <a:spLocks noChangeShapeType="1"/>
          </xdr:cNvSpPr>
        </xdr:nvSpPr>
        <xdr:spPr bwMode="auto">
          <a:xfrm flipH="1">
            <a:off x="4426527" y="913111"/>
            <a:ext cx="2294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7" name="Line 57">
            <a:extLst>
              <a:ext uri="{FF2B5EF4-FFF2-40B4-BE49-F238E27FC236}">
                <a16:creationId xmlns:a16="http://schemas.microsoft.com/office/drawing/2014/main" id="{E9BAE5D6-90C1-4E16-99E5-B666BD9FF72D}"/>
              </a:ext>
            </a:extLst>
          </xdr:cNvPr>
          <xdr:cNvSpPr>
            <a:spLocks noChangeShapeType="1"/>
          </xdr:cNvSpPr>
        </xdr:nvSpPr>
        <xdr:spPr bwMode="auto">
          <a:xfrm flipH="1">
            <a:off x="4426527" y="1201076"/>
            <a:ext cx="3437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8" name="Line 58">
            <a:extLst>
              <a:ext uri="{FF2B5EF4-FFF2-40B4-BE49-F238E27FC236}">
                <a16:creationId xmlns:a16="http://schemas.microsoft.com/office/drawing/2014/main" id="{EE72CD98-E85E-4855-8D3A-2D2EF97F7E39}"/>
              </a:ext>
            </a:extLst>
          </xdr:cNvPr>
          <xdr:cNvSpPr>
            <a:spLocks noChangeShapeType="1"/>
          </xdr:cNvSpPr>
        </xdr:nvSpPr>
        <xdr:spPr bwMode="auto">
          <a:xfrm>
            <a:off x="4998893" y="1489041"/>
            <a:ext cx="400916"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59" name="Line 59">
            <a:extLst>
              <a:ext uri="{FF2B5EF4-FFF2-40B4-BE49-F238E27FC236}">
                <a16:creationId xmlns:a16="http://schemas.microsoft.com/office/drawing/2014/main" id="{7292A6BE-158C-4FD3-88FF-508EBDE61B18}"/>
              </a:ext>
            </a:extLst>
          </xdr:cNvPr>
          <xdr:cNvSpPr>
            <a:spLocks noChangeShapeType="1"/>
          </xdr:cNvSpPr>
        </xdr:nvSpPr>
        <xdr:spPr bwMode="auto">
          <a:xfrm>
            <a:off x="5399809" y="1489041"/>
            <a:ext cx="916132"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0" name="Line 60">
            <a:extLst>
              <a:ext uri="{FF2B5EF4-FFF2-40B4-BE49-F238E27FC236}">
                <a16:creationId xmlns:a16="http://schemas.microsoft.com/office/drawing/2014/main" id="{EDC28E5B-A18D-4E38-9C26-3A942698964B}"/>
              </a:ext>
            </a:extLst>
          </xdr:cNvPr>
          <xdr:cNvSpPr>
            <a:spLocks noChangeShapeType="1"/>
          </xdr:cNvSpPr>
        </xdr:nvSpPr>
        <xdr:spPr bwMode="auto">
          <a:xfrm>
            <a:off x="6315941" y="1489041"/>
            <a:ext cx="400916"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1" name="Line 61">
            <a:extLst>
              <a:ext uri="{FF2B5EF4-FFF2-40B4-BE49-F238E27FC236}">
                <a16:creationId xmlns:a16="http://schemas.microsoft.com/office/drawing/2014/main" id="{A9994AE3-D3FB-4CBD-ADFD-AE13075D8A7C}"/>
              </a:ext>
            </a:extLst>
          </xdr:cNvPr>
          <xdr:cNvSpPr>
            <a:spLocks noChangeShapeType="1"/>
          </xdr:cNvSpPr>
        </xdr:nvSpPr>
        <xdr:spPr bwMode="auto">
          <a:xfrm flipV="1">
            <a:off x="4426527" y="913111"/>
            <a:ext cx="0" cy="287965"/>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2" name="Line 62">
            <a:extLst>
              <a:ext uri="{FF2B5EF4-FFF2-40B4-BE49-F238E27FC236}">
                <a16:creationId xmlns:a16="http://schemas.microsoft.com/office/drawing/2014/main" id="{7A47782A-7B9F-4FB5-A851-76F33E1DC533}"/>
              </a:ext>
            </a:extLst>
          </xdr:cNvPr>
          <xdr:cNvSpPr>
            <a:spLocks noChangeShapeType="1"/>
          </xdr:cNvSpPr>
        </xdr:nvSpPr>
        <xdr:spPr bwMode="auto">
          <a:xfrm>
            <a:off x="4998893" y="1777006"/>
            <a:ext cx="1717964"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3" name="テキスト 62">
            <a:extLst>
              <a:ext uri="{FF2B5EF4-FFF2-40B4-BE49-F238E27FC236}">
                <a16:creationId xmlns:a16="http://schemas.microsoft.com/office/drawing/2014/main" id="{F020D2DE-8059-4D4C-BEDD-7E06FDC239E7}"/>
              </a:ext>
            </a:extLst>
          </xdr:cNvPr>
          <xdr:cNvSpPr txBox="1">
            <a:spLocks noChangeArrowheads="1"/>
          </xdr:cNvSpPr>
        </xdr:nvSpPr>
        <xdr:spPr bwMode="auto">
          <a:xfrm>
            <a:off x="4274127" y="1018698"/>
            <a:ext cx="180975" cy="105587"/>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V</a:t>
            </a:r>
            <a:endParaRPr lang="ja-JP" altLang="en-US"/>
          </a:p>
        </xdr:txBody>
      </xdr:sp>
      <xdr:sp macro="" textlink="">
        <xdr:nvSpPr>
          <xdr:cNvPr id="64" name="テキスト 67">
            <a:extLst>
              <a:ext uri="{FF2B5EF4-FFF2-40B4-BE49-F238E27FC236}">
                <a16:creationId xmlns:a16="http://schemas.microsoft.com/office/drawing/2014/main" id="{6F9DB032-C50A-421C-8474-478AC6E2225A}"/>
              </a:ext>
            </a:extLst>
          </xdr:cNvPr>
          <xdr:cNvSpPr txBox="1">
            <a:spLocks noChangeArrowheads="1"/>
          </xdr:cNvSpPr>
        </xdr:nvSpPr>
        <xdr:spPr bwMode="auto">
          <a:xfrm>
            <a:off x="5132243" y="1306663"/>
            <a:ext cx="162791"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5" name="テキスト 68">
            <a:extLst>
              <a:ext uri="{FF2B5EF4-FFF2-40B4-BE49-F238E27FC236}">
                <a16:creationId xmlns:a16="http://schemas.microsoft.com/office/drawing/2014/main" id="{0B828EDC-DBCE-42F5-80E3-D961B505D56C}"/>
              </a:ext>
            </a:extLst>
          </xdr:cNvPr>
          <xdr:cNvSpPr txBox="1">
            <a:spLocks noChangeArrowheads="1"/>
          </xdr:cNvSpPr>
        </xdr:nvSpPr>
        <xdr:spPr bwMode="auto">
          <a:xfrm>
            <a:off x="5791200" y="1306663"/>
            <a:ext cx="10477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6" name="テキスト 69">
            <a:extLst>
              <a:ext uri="{FF2B5EF4-FFF2-40B4-BE49-F238E27FC236}">
                <a16:creationId xmlns:a16="http://schemas.microsoft.com/office/drawing/2014/main" id="{0402D5B8-DCD4-4A9F-9BFF-4942CD9CDC4B}"/>
              </a:ext>
            </a:extLst>
          </xdr:cNvPr>
          <xdr:cNvSpPr txBox="1">
            <a:spLocks noChangeArrowheads="1"/>
          </xdr:cNvSpPr>
        </xdr:nvSpPr>
        <xdr:spPr bwMode="auto">
          <a:xfrm>
            <a:off x="6439766" y="1306663"/>
            <a:ext cx="16192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7" name="テキスト 70">
            <a:extLst>
              <a:ext uri="{FF2B5EF4-FFF2-40B4-BE49-F238E27FC236}">
                <a16:creationId xmlns:a16="http://schemas.microsoft.com/office/drawing/2014/main" id="{B9DBD3AA-12DC-46FE-AA5B-14EC5A8DC5D3}"/>
              </a:ext>
            </a:extLst>
          </xdr:cNvPr>
          <xdr:cNvSpPr txBox="1">
            <a:spLocks noChangeArrowheads="1"/>
          </xdr:cNvSpPr>
        </xdr:nvSpPr>
        <xdr:spPr bwMode="auto">
          <a:xfrm>
            <a:off x="5791200" y="1565832"/>
            <a:ext cx="10477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285750</xdr:colOff>
      <xdr:row>1</xdr:row>
      <xdr:rowOff>3626</xdr:rowOff>
    </xdr:from>
    <xdr:to>
      <xdr:col>7</xdr:col>
      <xdr:colOff>495300</xdr:colOff>
      <xdr:row>8</xdr:row>
      <xdr:rowOff>74757</xdr:rowOff>
    </xdr:to>
    <xdr:grpSp>
      <xdr:nvGrpSpPr>
        <xdr:cNvPr id="2" name="グループ化 1">
          <a:extLst>
            <a:ext uri="{FF2B5EF4-FFF2-40B4-BE49-F238E27FC236}">
              <a16:creationId xmlns:a16="http://schemas.microsoft.com/office/drawing/2014/main" id="{F8AB0964-9141-4F72-91CB-B88091A8AC07}"/>
            </a:ext>
          </a:extLst>
        </xdr:cNvPr>
        <xdr:cNvGrpSpPr/>
      </xdr:nvGrpSpPr>
      <xdr:grpSpPr>
        <a:xfrm>
          <a:off x="2503539" y="336694"/>
          <a:ext cx="1871816" cy="1413234"/>
          <a:chOff x="2346614" y="371637"/>
          <a:chExt cx="1755197" cy="1404631"/>
        </a:xfrm>
      </xdr:grpSpPr>
      <xdr:sp macro="" textlink="">
        <xdr:nvSpPr>
          <xdr:cNvPr id="3" name="Line 2">
            <a:extLst>
              <a:ext uri="{FF2B5EF4-FFF2-40B4-BE49-F238E27FC236}">
                <a16:creationId xmlns:a16="http://schemas.microsoft.com/office/drawing/2014/main" id="{70E5C461-CDC0-42C4-993D-63EBD9D6B2E2}"/>
              </a:ext>
            </a:extLst>
          </xdr:cNvPr>
          <xdr:cNvSpPr>
            <a:spLocks noChangeShapeType="1"/>
          </xdr:cNvSpPr>
        </xdr:nvSpPr>
        <xdr:spPr bwMode="auto">
          <a:xfrm flipV="1">
            <a:off x="3701761" y="1093643"/>
            <a:ext cx="0" cy="295275"/>
          </a:xfrm>
          <a:prstGeom prst="line">
            <a:avLst/>
          </a:prstGeom>
          <a:noFill/>
          <a:ln w="1">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4" name="Line 4">
            <a:extLst>
              <a:ext uri="{FF2B5EF4-FFF2-40B4-BE49-F238E27FC236}">
                <a16:creationId xmlns:a16="http://schemas.microsoft.com/office/drawing/2014/main" id="{A96A9719-AD1D-4565-846E-8C85641EFD8C}"/>
              </a:ext>
            </a:extLst>
          </xdr:cNvPr>
          <xdr:cNvSpPr>
            <a:spLocks noChangeShapeType="1"/>
          </xdr:cNvSpPr>
        </xdr:nvSpPr>
        <xdr:spPr bwMode="auto">
          <a:xfrm>
            <a:off x="3129395" y="665018"/>
            <a:ext cx="0"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5">
            <a:extLst>
              <a:ext uri="{FF2B5EF4-FFF2-40B4-BE49-F238E27FC236}">
                <a16:creationId xmlns:a16="http://schemas.microsoft.com/office/drawing/2014/main" id="{4104DFE6-D25F-41BF-8E99-9993E914E83F}"/>
              </a:ext>
            </a:extLst>
          </xdr:cNvPr>
          <xdr:cNvSpPr>
            <a:spLocks noChangeShapeType="1"/>
          </xdr:cNvSpPr>
        </xdr:nvSpPr>
        <xdr:spPr bwMode="auto">
          <a:xfrm>
            <a:off x="3129395" y="941243"/>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6">
            <a:extLst>
              <a:ext uri="{FF2B5EF4-FFF2-40B4-BE49-F238E27FC236}">
                <a16:creationId xmlns:a16="http://schemas.microsoft.com/office/drawing/2014/main" id="{6C4033B7-89E1-415F-AFFA-01542A1BA8A0}"/>
              </a:ext>
            </a:extLst>
          </xdr:cNvPr>
          <xdr:cNvSpPr>
            <a:spLocks noChangeShapeType="1"/>
          </xdr:cNvSpPr>
        </xdr:nvSpPr>
        <xdr:spPr bwMode="auto">
          <a:xfrm flipV="1">
            <a:off x="3243695" y="884093"/>
            <a:ext cx="0" cy="57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7">
            <a:extLst>
              <a:ext uri="{FF2B5EF4-FFF2-40B4-BE49-F238E27FC236}">
                <a16:creationId xmlns:a16="http://schemas.microsoft.com/office/drawing/2014/main" id="{C31E042B-421C-496A-A8FA-7A905B8F6231}"/>
              </a:ext>
            </a:extLst>
          </xdr:cNvPr>
          <xdr:cNvSpPr>
            <a:spLocks noChangeShapeType="1"/>
          </xdr:cNvSpPr>
        </xdr:nvSpPr>
        <xdr:spPr bwMode="auto">
          <a:xfrm>
            <a:off x="3129395" y="6650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8" name="Line 8">
            <a:extLst>
              <a:ext uri="{FF2B5EF4-FFF2-40B4-BE49-F238E27FC236}">
                <a16:creationId xmlns:a16="http://schemas.microsoft.com/office/drawing/2014/main" id="{3A6C2431-01C2-47D3-8C29-034523B36545}"/>
              </a:ext>
            </a:extLst>
          </xdr:cNvPr>
          <xdr:cNvSpPr>
            <a:spLocks noChangeShapeType="1"/>
          </xdr:cNvSpPr>
        </xdr:nvSpPr>
        <xdr:spPr bwMode="auto">
          <a:xfrm>
            <a:off x="3243695" y="665018"/>
            <a:ext cx="0" cy="104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9" name="Line 9">
            <a:extLst>
              <a:ext uri="{FF2B5EF4-FFF2-40B4-BE49-F238E27FC236}">
                <a16:creationId xmlns:a16="http://schemas.microsoft.com/office/drawing/2014/main" id="{95F547EF-10C0-4F18-ACFA-90D4AF8A591B}"/>
              </a:ext>
            </a:extLst>
          </xdr:cNvPr>
          <xdr:cNvSpPr>
            <a:spLocks noChangeShapeType="1"/>
          </xdr:cNvSpPr>
        </xdr:nvSpPr>
        <xdr:spPr bwMode="auto">
          <a:xfrm>
            <a:off x="3243695" y="769793"/>
            <a:ext cx="57236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0" name="Line 10">
            <a:extLst>
              <a:ext uri="{FF2B5EF4-FFF2-40B4-BE49-F238E27FC236}">
                <a16:creationId xmlns:a16="http://schemas.microsoft.com/office/drawing/2014/main" id="{9B21A9C8-3DE4-4854-A2D5-7E09B5B747D0}"/>
              </a:ext>
            </a:extLst>
          </xdr:cNvPr>
          <xdr:cNvSpPr>
            <a:spLocks noChangeShapeType="1"/>
          </xdr:cNvSpPr>
        </xdr:nvSpPr>
        <xdr:spPr bwMode="auto">
          <a:xfrm>
            <a:off x="3243695" y="884093"/>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 name="Line 11">
            <a:extLst>
              <a:ext uri="{FF2B5EF4-FFF2-40B4-BE49-F238E27FC236}">
                <a16:creationId xmlns:a16="http://schemas.microsoft.com/office/drawing/2014/main" id="{B34D2CDC-86D0-4B12-9D00-0F4B258FBDB9}"/>
              </a:ext>
            </a:extLst>
          </xdr:cNvPr>
          <xdr:cNvSpPr>
            <a:spLocks noChangeShapeType="1"/>
          </xdr:cNvSpPr>
        </xdr:nvSpPr>
        <xdr:spPr bwMode="auto">
          <a:xfrm>
            <a:off x="3644611" y="884093"/>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 name="Line 12">
            <a:extLst>
              <a:ext uri="{FF2B5EF4-FFF2-40B4-BE49-F238E27FC236}">
                <a16:creationId xmlns:a16="http://schemas.microsoft.com/office/drawing/2014/main" id="{27C26C21-8877-4A82-809B-195DC4322CBA}"/>
              </a:ext>
            </a:extLst>
          </xdr:cNvPr>
          <xdr:cNvSpPr>
            <a:spLocks noChangeShapeType="1"/>
          </xdr:cNvSpPr>
        </xdr:nvSpPr>
        <xdr:spPr bwMode="auto">
          <a:xfrm>
            <a:off x="3644611" y="1093643"/>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13">
            <a:extLst>
              <a:ext uri="{FF2B5EF4-FFF2-40B4-BE49-F238E27FC236}">
                <a16:creationId xmlns:a16="http://schemas.microsoft.com/office/drawing/2014/main" id="{BAF89A70-7442-4969-B836-D869D98FB487}"/>
              </a:ext>
            </a:extLst>
          </xdr:cNvPr>
          <xdr:cNvSpPr>
            <a:spLocks noChangeShapeType="1"/>
          </xdr:cNvSpPr>
        </xdr:nvSpPr>
        <xdr:spPr bwMode="auto">
          <a:xfrm flipV="1">
            <a:off x="3758911" y="884093"/>
            <a:ext cx="0" cy="209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4" name="Line 14">
            <a:extLst>
              <a:ext uri="{FF2B5EF4-FFF2-40B4-BE49-F238E27FC236}">
                <a16:creationId xmlns:a16="http://schemas.microsoft.com/office/drawing/2014/main" id="{319A7FD3-2AA1-4303-8548-23AA57373774}"/>
              </a:ext>
            </a:extLst>
          </xdr:cNvPr>
          <xdr:cNvSpPr>
            <a:spLocks noChangeShapeType="1"/>
          </xdr:cNvSpPr>
        </xdr:nvSpPr>
        <xdr:spPr bwMode="auto">
          <a:xfrm>
            <a:off x="3758911" y="884093"/>
            <a:ext cx="5715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15" name="Line 15">
            <a:extLst>
              <a:ext uri="{FF2B5EF4-FFF2-40B4-BE49-F238E27FC236}">
                <a16:creationId xmlns:a16="http://schemas.microsoft.com/office/drawing/2014/main" id="{AB6E98E0-7301-48F9-8058-75BAE775EEA6}"/>
              </a:ext>
            </a:extLst>
          </xdr:cNvPr>
          <xdr:cNvSpPr>
            <a:spLocks noChangeShapeType="1"/>
          </xdr:cNvSpPr>
        </xdr:nvSpPr>
        <xdr:spPr bwMode="auto">
          <a:xfrm flipV="1">
            <a:off x="3644611" y="1388917"/>
            <a:ext cx="0" cy="3857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 name="Line 16">
            <a:extLst>
              <a:ext uri="{FF2B5EF4-FFF2-40B4-BE49-F238E27FC236}">
                <a16:creationId xmlns:a16="http://schemas.microsoft.com/office/drawing/2014/main" id="{73579263-762F-4E63-83FB-D8E1733C6FCF}"/>
              </a:ext>
            </a:extLst>
          </xdr:cNvPr>
          <xdr:cNvSpPr>
            <a:spLocks noChangeShapeType="1"/>
          </xdr:cNvSpPr>
        </xdr:nvSpPr>
        <xdr:spPr bwMode="auto">
          <a:xfrm flipV="1">
            <a:off x="3758911" y="1384155"/>
            <a:ext cx="0" cy="20478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 name="Line 17">
            <a:extLst>
              <a:ext uri="{FF2B5EF4-FFF2-40B4-BE49-F238E27FC236}">
                <a16:creationId xmlns:a16="http://schemas.microsoft.com/office/drawing/2014/main" id="{E4B747DB-A1C4-426B-B402-62497E0DCCEE}"/>
              </a:ext>
            </a:extLst>
          </xdr:cNvPr>
          <xdr:cNvSpPr>
            <a:spLocks noChangeShapeType="1"/>
          </xdr:cNvSpPr>
        </xdr:nvSpPr>
        <xdr:spPr bwMode="auto">
          <a:xfrm>
            <a:off x="3644611" y="13889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 name="Line 18">
            <a:extLst>
              <a:ext uri="{FF2B5EF4-FFF2-40B4-BE49-F238E27FC236}">
                <a16:creationId xmlns:a16="http://schemas.microsoft.com/office/drawing/2014/main" id="{60F30E78-212F-45C8-BAC8-7F3D71597C38}"/>
              </a:ext>
            </a:extLst>
          </xdr:cNvPr>
          <xdr:cNvSpPr>
            <a:spLocks noChangeShapeType="1"/>
          </xdr:cNvSpPr>
        </xdr:nvSpPr>
        <xdr:spPr bwMode="auto">
          <a:xfrm>
            <a:off x="3758911" y="1588943"/>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9" name="Line 19">
            <a:extLst>
              <a:ext uri="{FF2B5EF4-FFF2-40B4-BE49-F238E27FC236}">
                <a16:creationId xmlns:a16="http://schemas.microsoft.com/office/drawing/2014/main" id="{C438228F-4F9A-432C-B601-4F4E41559132}"/>
              </a:ext>
            </a:extLst>
          </xdr:cNvPr>
          <xdr:cNvSpPr>
            <a:spLocks noChangeShapeType="1"/>
          </xdr:cNvSpPr>
        </xdr:nvSpPr>
        <xdr:spPr bwMode="auto">
          <a:xfrm flipH="1">
            <a:off x="3758911" y="1703243"/>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0" name="Line 20">
            <a:extLst>
              <a:ext uri="{FF2B5EF4-FFF2-40B4-BE49-F238E27FC236}">
                <a16:creationId xmlns:a16="http://schemas.microsoft.com/office/drawing/2014/main" id="{B8F3294A-9BD1-4430-A7DE-81A3188F4504}"/>
              </a:ext>
            </a:extLst>
          </xdr:cNvPr>
          <xdr:cNvSpPr>
            <a:spLocks noChangeShapeType="1"/>
          </xdr:cNvSpPr>
        </xdr:nvSpPr>
        <xdr:spPr bwMode="auto">
          <a:xfrm>
            <a:off x="3758911" y="1703243"/>
            <a:ext cx="0" cy="73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1" name="Line 21">
            <a:extLst>
              <a:ext uri="{FF2B5EF4-FFF2-40B4-BE49-F238E27FC236}">
                <a16:creationId xmlns:a16="http://schemas.microsoft.com/office/drawing/2014/main" id="{9CEC2923-1488-4B5E-946B-06FEEAACE36A}"/>
              </a:ext>
            </a:extLst>
          </xdr:cNvPr>
          <xdr:cNvSpPr>
            <a:spLocks noChangeShapeType="1"/>
          </xdr:cNvSpPr>
        </xdr:nvSpPr>
        <xdr:spPr bwMode="auto">
          <a:xfrm>
            <a:off x="3644611" y="176991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2" name="Line 3">
            <a:extLst>
              <a:ext uri="{FF2B5EF4-FFF2-40B4-BE49-F238E27FC236}">
                <a16:creationId xmlns:a16="http://schemas.microsoft.com/office/drawing/2014/main" id="{7EDA9708-40CD-4CDE-8570-9077953F8EDC}"/>
              </a:ext>
            </a:extLst>
          </xdr:cNvPr>
          <xdr:cNvSpPr>
            <a:spLocks noChangeShapeType="1"/>
          </xdr:cNvSpPr>
        </xdr:nvSpPr>
        <xdr:spPr bwMode="auto">
          <a:xfrm flipV="1">
            <a:off x="3754677" y="535901"/>
            <a:ext cx="0" cy="176742"/>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A2A85691-E2E0-41A2-8741-6F71FF227506}"/>
              </a:ext>
            </a:extLst>
          </xdr:cNvPr>
          <xdr:cNvSpPr>
            <a:spLocks noChangeShapeType="1"/>
          </xdr:cNvSpPr>
        </xdr:nvSpPr>
        <xdr:spPr bwMode="auto">
          <a:xfrm flipV="1">
            <a:off x="3129395" y="535901"/>
            <a:ext cx="0" cy="100995"/>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4" name="Line 23">
            <a:extLst>
              <a:ext uri="{FF2B5EF4-FFF2-40B4-BE49-F238E27FC236}">
                <a16:creationId xmlns:a16="http://schemas.microsoft.com/office/drawing/2014/main" id="{E224D256-B476-463C-86B8-AAFB972D89E2}"/>
              </a:ext>
            </a:extLst>
          </xdr:cNvPr>
          <xdr:cNvSpPr>
            <a:spLocks noChangeShapeType="1"/>
          </xdr:cNvSpPr>
        </xdr:nvSpPr>
        <xdr:spPr bwMode="auto">
          <a:xfrm>
            <a:off x="3129395" y="535901"/>
            <a:ext cx="625282"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25" name="Line 24">
            <a:extLst>
              <a:ext uri="{FF2B5EF4-FFF2-40B4-BE49-F238E27FC236}">
                <a16:creationId xmlns:a16="http://schemas.microsoft.com/office/drawing/2014/main" id="{B470BD49-6282-438B-85A7-1AC46E4C8171}"/>
              </a:ext>
            </a:extLst>
          </xdr:cNvPr>
          <xdr:cNvSpPr>
            <a:spLocks noChangeShapeType="1"/>
          </xdr:cNvSpPr>
        </xdr:nvSpPr>
        <xdr:spPr bwMode="auto">
          <a:xfrm flipH="1">
            <a:off x="2499014" y="931718"/>
            <a:ext cx="5723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6" name="Line 25">
            <a:extLst>
              <a:ext uri="{FF2B5EF4-FFF2-40B4-BE49-F238E27FC236}">
                <a16:creationId xmlns:a16="http://schemas.microsoft.com/office/drawing/2014/main" id="{8CF0313F-8AE2-4546-9966-25C0C5D817E1}"/>
              </a:ext>
            </a:extLst>
          </xdr:cNvPr>
          <xdr:cNvSpPr>
            <a:spLocks noChangeShapeType="1"/>
          </xdr:cNvSpPr>
        </xdr:nvSpPr>
        <xdr:spPr bwMode="auto">
          <a:xfrm flipH="1">
            <a:off x="2499014" y="1731818"/>
            <a:ext cx="1030431"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7" name="Line 26">
            <a:extLst>
              <a:ext uri="{FF2B5EF4-FFF2-40B4-BE49-F238E27FC236}">
                <a16:creationId xmlns:a16="http://schemas.microsoft.com/office/drawing/2014/main" id="{8E6ABAE5-F405-42EE-8719-285B5CF5CCE2}"/>
              </a:ext>
            </a:extLst>
          </xdr:cNvPr>
          <xdr:cNvSpPr>
            <a:spLocks noChangeShapeType="1"/>
          </xdr:cNvSpPr>
        </xdr:nvSpPr>
        <xdr:spPr bwMode="auto">
          <a:xfrm flipV="1">
            <a:off x="2499014" y="931717"/>
            <a:ext cx="0" cy="809625"/>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28" name="Line 27">
            <a:extLst>
              <a:ext uri="{FF2B5EF4-FFF2-40B4-BE49-F238E27FC236}">
                <a16:creationId xmlns:a16="http://schemas.microsoft.com/office/drawing/2014/main" id="{75DEE8B9-B585-4515-9ADB-05A236629AD2}"/>
              </a:ext>
            </a:extLst>
          </xdr:cNvPr>
          <xdr:cNvSpPr>
            <a:spLocks noChangeShapeType="1"/>
          </xdr:cNvSpPr>
        </xdr:nvSpPr>
        <xdr:spPr bwMode="auto">
          <a:xfrm flipH="1">
            <a:off x="2728480" y="1388918"/>
            <a:ext cx="800965"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29" name="Line 28">
            <a:extLst>
              <a:ext uri="{FF2B5EF4-FFF2-40B4-BE49-F238E27FC236}">
                <a16:creationId xmlns:a16="http://schemas.microsoft.com/office/drawing/2014/main" id="{0C46C01C-B631-4A5C-80BF-5D0057BF2CA0}"/>
              </a:ext>
            </a:extLst>
          </xdr:cNvPr>
          <xdr:cNvSpPr>
            <a:spLocks noChangeShapeType="1"/>
          </xdr:cNvSpPr>
        </xdr:nvSpPr>
        <xdr:spPr bwMode="auto">
          <a:xfrm flipV="1">
            <a:off x="2728480" y="1388918"/>
            <a:ext cx="0" cy="34290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30" name="Line 29">
            <a:extLst>
              <a:ext uri="{FF2B5EF4-FFF2-40B4-BE49-F238E27FC236}">
                <a16:creationId xmlns:a16="http://schemas.microsoft.com/office/drawing/2014/main" id="{4419B279-0AE3-4206-AEBB-001E7DE087E8}"/>
              </a:ext>
            </a:extLst>
          </xdr:cNvPr>
          <xdr:cNvSpPr>
            <a:spLocks noChangeShapeType="1"/>
          </xdr:cNvSpPr>
        </xdr:nvSpPr>
        <xdr:spPr bwMode="auto">
          <a:xfrm flipV="1">
            <a:off x="2728480" y="1088881"/>
            <a:ext cx="0" cy="296574"/>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31" name="Line 30">
            <a:extLst>
              <a:ext uri="{FF2B5EF4-FFF2-40B4-BE49-F238E27FC236}">
                <a16:creationId xmlns:a16="http://schemas.microsoft.com/office/drawing/2014/main" id="{4A9D0F2A-1429-4B91-9B84-2DCDE55A78EF}"/>
              </a:ext>
            </a:extLst>
          </xdr:cNvPr>
          <xdr:cNvSpPr>
            <a:spLocks noChangeShapeType="1"/>
          </xdr:cNvSpPr>
        </xdr:nvSpPr>
        <xdr:spPr bwMode="auto">
          <a:xfrm flipH="1">
            <a:off x="2728480" y="1093643"/>
            <a:ext cx="858115"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32" name="テキスト 63">
            <a:extLst>
              <a:ext uri="{FF2B5EF4-FFF2-40B4-BE49-F238E27FC236}">
                <a16:creationId xmlns:a16="http://schemas.microsoft.com/office/drawing/2014/main" id="{28629497-9348-4B55-8C03-AA6815E750B2}"/>
              </a:ext>
            </a:extLst>
          </xdr:cNvPr>
          <xdr:cNvSpPr txBox="1">
            <a:spLocks noChangeArrowheads="1"/>
          </xdr:cNvSpPr>
        </xdr:nvSpPr>
        <xdr:spPr bwMode="auto">
          <a:xfrm>
            <a:off x="2346614" y="1222232"/>
            <a:ext cx="190500" cy="138112"/>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3" name="テキスト 64">
            <a:extLst>
              <a:ext uri="{FF2B5EF4-FFF2-40B4-BE49-F238E27FC236}">
                <a16:creationId xmlns:a16="http://schemas.microsoft.com/office/drawing/2014/main" id="{F4636859-F6E7-4549-AA8A-98402865FBC4}"/>
              </a:ext>
            </a:extLst>
          </xdr:cNvPr>
          <xdr:cNvSpPr txBox="1">
            <a:spLocks noChangeArrowheads="1"/>
          </xdr:cNvSpPr>
        </xdr:nvSpPr>
        <xdr:spPr bwMode="auto">
          <a:xfrm>
            <a:off x="2576080" y="1198418"/>
            <a:ext cx="209550" cy="123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4" name="テキスト 65">
            <a:extLst>
              <a:ext uri="{FF2B5EF4-FFF2-40B4-BE49-F238E27FC236}">
                <a16:creationId xmlns:a16="http://schemas.microsoft.com/office/drawing/2014/main" id="{F19CFA92-5000-4721-8336-250BE8B53ED4}"/>
              </a:ext>
            </a:extLst>
          </xdr:cNvPr>
          <xdr:cNvSpPr txBox="1">
            <a:spLocks noChangeArrowheads="1"/>
          </xdr:cNvSpPr>
        </xdr:nvSpPr>
        <xdr:spPr bwMode="auto">
          <a:xfrm>
            <a:off x="2576080" y="1450831"/>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vert270"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h'</a:t>
            </a:r>
            <a:endParaRPr lang="ja-JP" altLang="en-US"/>
          </a:p>
        </xdr:txBody>
      </xdr:sp>
      <xdr:sp macro="" textlink="">
        <xdr:nvSpPr>
          <xdr:cNvPr id="35" name="テキスト 66">
            <a:extLst>
              <a:ext uri="{FF2B5EF4-FFF2-40B4-BE49-F238E27FC236}">
                <a16:creationId xmlns:a16="http://schemas.microsoft.com/office/drawing/2014/main" id="{76005149-9790-4BB9-8AE4-84A1B14C1635}"/>
              </a:ext>
            </a:extLst>
          </xdr:cNvPr>
          <xdr:cNvSpPr txBox="1">
            <a:spLocks noChangeArrowheads="1"/>
          </xdr:cNvSpPr>
        </xdr:nvSpPr>
        <xdr:spPr bwMode="auto">
          <a:xfrm>
            <a:off x="3359856" y="371637"/>
            <a:ext cx="133606" cy="20364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noAutofit/>
          </a:bodyPr>
          <a:lstStyle/>
          <a:p>
            <a:pPr algn="ctr" rtl="0">
              <a:defRPr sz="1000"/>
            </a:pPr>
            <a:r>
              <a:rPr lang="ja-JP" altLang="en-US" sz="1000" b="0" i="0" u="none" strike="noStrike" baseline="0">
                <a:solidFill>
                  <a:srgbClr val="000000"/>
                </a:solidFill>
                <a:latin typeface="ＭＳ ゴシック"/>
                <a:ea typeface="ＭＳ ゴシック"/>
              </a:rPr>
              <a:t>W</a:t>
            </a:r>
            <a:endParaRPr lang="ja-JP" altLang="en-US"/>
          </a:p>
        </xdr:txBody>
      </xdr:sp>
    </xdr:grpSp>
    <xdr:clientData/>
  </xdr:twoCellAnchor>
  <xdr:twoCellAnchor>
    <xdr:from>
      <xdr:col>8</xdr:col>
      <xdr:colOff>152399</xdr:colOff>
      <xdr:row>3</xdr:row>
      <xdr:rowOff>24246</xdr:rowOff>
    </xdr:from>
    <xdr:to>
      <xdr:col>13</xdr:col>
      <xdr:colOff>304799</xdr:colOff>
      <xdr:row>8</xdr:row>
      <xdr:rowOff>50827</xdr:rowOff>
    </xdr:to>
    <xdr:grpSp>
      <xdr:nvGrpSpPr>
        <xdr:cNvPr id="36" name="グループ化 35">
          <a:extLst>
            <a:ext uri="{FF2B5EF4-FFF2-40B4-BE49-F238E27FC236}">
              <a16:creationId xmlns:a16="http://schemas.microsoft.com/office/drawing/2014/main" id="{B0170A2A-7F38-477A-ACBE-D96B534ACD65}"/>
            </a:ext>
          </a:extLst>
        </xdr:cNvPr>
        <xdr:cNvGrpSpPr/>
      </xdr:nvGrpSpPr>
      <xdr:grpSpPr>
        <a:xfrm>
          <a:off x="4558479" y="740465"/>
          <a:ext cx="2909120" cy="985840"/>
          <a:chOff x="4274127" y="855518"/>
          <a:chExt cx="2728480" cy="979081"/>
        </a:xfrm>
      </xdr:grpSpPr>
      <xdr:sp macro="" textlink="">
        <xdr:nvSpPr>
          <xdr:cNvPr id="37" name="Line 37">
            <a:extLst>
              <a:ext uri="{FF2B5EF4-FFF2-40B4-BE49-F238E27FC236}">
                <a16:creationId xmlns:a16="http://schemas.microsoft.com/office/drawing/2014/main" id="{9D06F0FB-E247-42DA-9287-B8562F967197}"/>
              </a:ext>
            </a:extLst>
          </xdr:cNvPr>
          <xdr:cNvSpPr>
            <a:spLocks noChangeShapeType="1"/>
          </xdr:cNvSpPr>
        </xdr:nvSpPr>
        <xdr:spPr bwMode="auto">
          <a:xfrm>
            <a:off x="4770293" y="855518"/>
            <a:ext cx="6295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8" name="Line 38">
            <a:extLst>
              <a:ext uri="{FF2B5EF4-FFF2-40B4-BE49-F238E27FC236}">
                <a16:creationId xmlns:a16="http://schemas.microsoft.com/office/drawing/2014/main" id="{A64B7257-555F-4998-8FAA-C50EA292C993}"/>
              </a:ext>
            </a:extLst>
          </xdr:cNvPr>
          <xdr:cNvSpPr>
            <a:spLocks noChangeShapeType="1"/>
          </xdr:cNvSpPr>
        </xdr:nvSpPr>
        <xdr:spPr bwMode="auto">
          <a:xfrm>
            <a:off x="5399809" y="855518"/>
            <a:ext cx="0" cy="115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9" name="Line 39">
            <a:extLst>
              <a:ext uri="{FF2B5EF4-FFF2-40B4-BE49-F238E27FC236}">
                <a16:creationId xmlns:a16="http://schemas.microsoft.com/office/drawing/2014/main" id="{CE7F59DA-8A61-4738-A8AF-DA9A878544D6}"/>
              </a:ext>
            </a:extLst>
          </xdr:cNvPr>
          <xdr:cNvSpPr>
            <a:spLocks noChangeShapeType="1"/>
          </xdr:cNvSpPr>
        </xdr:nvSpPr>
        <xdr:spPr bwMode="auto">
          <a:xfrm flipH="1">
            <a:off x="4998893" y="970704"/>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0" name="Line 40">
            <a:extLst>
              <a:ext uri="{FF2B5EF4-FFF2-40B4-BE49-F238E27FC236}">
                <a16:creationId xmlns:a16="http://schemas.microsoft.com/office/drawing/2014/main" id="{07B3AD44-7744-4DB9-B38A-B8C434CE93A8}"/>
              </a:ext>
            </a:extLst>
          </xdr:cNvPr>
          <xdr:cNvSpPr>
            <a:spLocks noChangeShapeType="1"/>
          </xdr:cNvSpPr>
        </xdr:nvSpPr>
        <xdr:spPr bwMode="auto">
          <a:xfrm>
            <a:off x="4998893"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1" name="Line 41">
            <a:extLst>
              <a:ext uri="{FF2B5EF4-FFF2-40B4-BE49-F238E27FC236}">
                <a16:creationId xmlns:a16="http://schemas.microsoft.com/office/drawing/2014/main" id="{4E55F3C9-7B14-4F95-94F7-5D6D6C9ED908}"/>
              </a:ext>
            </a:extLst>
          </xdr:cNvPr>
          <xdr:cNvSpPr>
            <a:spLocks noChangeShapeType="1"/>
          </xdr:cNvSpPr>
        </xdr:nvSpPr>
        <xdr:spPr bwMode="auto">
          <a:xfrm flipH="1">
            <a:off x="4884593" y="120107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2" name="Line 42">
            <a:extLst>
              <a:ext uri="{FF2B5EF4-FFF2-40B4-BE49-F238E27FC236}">
                <a16:creationId xmlns:a16="http://schemas.microsoft.com/office/drawing/2014/main" id="{D4C24935-0804-43E4-BE54-B8EA1CDF277C}"/>
              </a:ext>
            </a:extLst>
          </xdr:cNvPr>
          <xdr:cNvSpPr>
            <a:spLocks noChangeShapeType="1"/>
          </xdr:cNvSpPr>
        </xdr:nvSpPr>
        <xdr:spPr bwMode="auto">
          <a:xfrm flipV="1">
            <a:off x="4884593"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3" name="Line 43">
            <a:extLst>
              <a:ext uri="{FF2B5EF4-FFF2-40B4-BE49-F238E27FC236}">
                <a16:creationId xmlns:a16="http://schemas.microsoft.com/office/drawing/2014/main" id="{974BC00F-3DEB-42FC-A10F-967D98DD63A1}"/>
              </a:ext>
            </a:extLst>
          </xdr:cNvPr>
          <xdr:cNvSpPr>
            <a:spLocks noChangeShapeType="1"/>
          </xdr:cNvSpPr>
        </xdr:nvSpPr>
        <xdr:spPr bwMode="auto">
          <a:xfrm flipH="1">
            <a:off x="4770293" y="970704"/>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4" name="Line 44">
            <a:extLst>
              <a:ext uri="{FF2B5EF4-FFF2-40B4-BE49-F238E27FC236}">
                <a16:creationId xmlns:a16="http://schemas.microsoft.com/office/drawing/2014/main" id="{D772B723-9480-4678-AF17-63430BAAA2DE}"/>
              </a:ext>
            </a:extLst>
          </xdr:cNvPr>
          <xdr:cNvSpPr>
            <a:spLocks noChangeShapeType="1"/>
          </xdr:cNvSpPr>
        </xdr:nvSpPr>
        <xdr:spPr bwMode="auto">
          <a:xfrm flipV="1">
            <a:off x="6315941" y="855518"/>
            <a:ext cx="68666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5" name="Line 45">
            <a:extLst>
              <a:ext uri="{FF2B5EF4-FFF2-40B4-BE49-F238E27FC236}">
                <a16:creationId xmlns:a16="http://schemas.microsoft.com/office/drawing/2014/main" id="{204B39DB-EE42-4655-90D1-F3A93D06450A}"/>
              </a:ext>
            </a:extLst>
          </xdr:cNvPr>
          <xdr:cNvSpPr>
            <a:spLocks noChangeShapeType="1"/>
          </xdr:cNvSpPr>
        </xdr:nvSpPr>
        <xdr:spPr bwMode="auto">
          <a:xfrm>
            <a:off x="6315941" y="855518"/>
            <a:ext cx="0" cy="1151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6" name="Line 46">
            <a:extLst>
              <a:ext uri="{FF2B5EF4-FFF2-40B4-BE49-F238E27FC236}">
                <a16:creationId xmlns:a16="http://schemas.microsoft.com/office/drawing/2014/main" id="{94658936-A826-4168-BD0B-55180343F770}"/>
              </a:ext>
            </a:extLst>
          </xdr:cNvPr>
          <xdr:cNvSpPr>
            <a:spLocks noChangeShapeType="1"/>
          </xdr:cNvSpPr>
        </xdr:nvSpPr>
        <xdr:spPr bwMode="auto">
          <a:xfrm>
            <a:off x="6315941" y="970704"/>
            <a:ext cx="40091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7" name="Line 47">
            <a:extLst>
              <a:ext uri="{FF2B5EF4-FFF2-40B4-BE49-F238E27FC236}">
                <a16:creationId xmlns:a16="http://schemas.microsoft.com/office/drawing/2014/main" id="{B45FF629-9983-4D36-A708-557F16110657}"/>
              </a:ext>
            </a:extLst>
          </xdr:cNvPr>
          <xdr:cNvSpPr>
            <a:spLocks noChangeShapeType="1"/>
          </xdr:cNvSpPr>
        </xdr:nvSpPr>
        <xdr:spPr bwMode="auto">
          <a:xfrm>
            <a:off x="5399809" y="913111"/>
            <a:ext cx="916132" cy="0"/>
          </a:xfrm>
          <a:prstGeom prst="line">
            <a:avLst/>
          </a:prstGeom>
          <a:noFill/>
          <a:ln w="1">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48" name="Line 48">
            <a:extLst>
              <a:ext uri="{FF2B5EF4-FFF2-40B4-BE49-F238E27FC236}">
                <a16:creationId xmlns:a16="http://schemas.microsoft.com/office/drawing/2014/main" id="{BAA30AE0-357C-4421-98FA-8A1934BBBC6E}"/>
              </a:ext>
            </a:extLst>
          </xdr:cNvPr>
          <xdr:cNvSpPr>
            <a:spLocks noChangeShapeType="1"/>
          </xdr:cNvSpPr>
        </xdr:nvSpPr>
        <xdr:spPr bwMode="auto">
          <a:xfrm>
            <a:off x="6831157"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 name="Line 49">
            <a:extLst>
              <a:ext uri="{FF2B5EF4-FFF2-40B4-BE49-F238E27FC236}">
                <a16:creationId xmlns:a16="http://schemas.microsoft.com/office/drawing/2014/main" id="{615F9DA3-D9CF-4353-9BF6-6DB6A5D748DB}"/>
              </a:ext>
            </a:extLst>
          </xdr:cNvPr>
          <xdr:cNvSpPr>
            <a:spLocks noChangeShapeType="1"/>
          </xdr:cNvSpPr>
        </xdr:nvSpPr>
        <xdr:spPr bwMode="auto">
          <a:xfrm flipH="1">
            <a:off x="6716857" y="120107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0" name="Line 50">
            <a:extLst>
              <a:ext uri="{FF2B5EF4-FFF2-40B4-BE49-F238E27FC236}">
                <a16:creationId xmlns:a16="http://schemas.microsoft.com/office/drawing/2014/main" id="{6C5D7CE5-F602-4074-A5B2-32DBD74055C4}"/>
              </a:ext>
            </a:extLst>
          </xdr:cNvPr>
          <xdr:cNvSpPr>
            <a:spLocks noChangeShapeType="1"/>
          </xdr:cNvSpPr>
        </xdr:nvSpPr>
        <xdr:spPr bwMode="auto">
          <a:xfrm flipV="1">
            <a:off x="6716857" y="970704"/>
            <a:ext cx="0" cy="2303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1" name="Line 51">
            <a:extLst>
              <a:ext uri="{FF2B5EF4-FFF2-40B4-BE49-F238E27FC236}">
                <a16:creationId xmlns:a16="http://schemas.microsoft.com/office/drawing/2014/main" id="{4C996562-FDAB-41E3-ADAC-A5617F42A544}"/>
              </a:ext>
            </a:extLst>
          </xdr:cNvPr>
          <xdr:cNvSpPr>
            <a:spLocks noChangeShapeType="1"/>
          </xdr:cNvSpPr>
        </xdr:nvSpPr>
        <xdr:spPr bwMode="auto">
          <a:xfrm>
            <a:off x="6831157" y="970704"/>
            <a:ext cx="171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2" name="Line 52">
            <a:extLst>
              <a:ext uri="{FF2B5EF4-FFF2-40B4-BE49-F238E27FC236}">
                <a16:creationId xmlns:a16="http://schemas.microsoft.com/office/drawing/2014/main" id="{6428F26E-0429-44CD-9B62-1ABF9944C908}"/>
              </a:ext>
            </a:extLst>
          </xdr:cNvPr>
          <xdr:cNvSpPr>
            <a:spLocks noChangeShapeType="1"/>
          </xdr:cNvSpPr>
        </xdr:nvSpPr>
        <xdr:spPr bwMode="auto">
          <a:xfrm>
            <a:off x="5399809" y="1028297"/>
            <a:ext cx="0" cy="460744"/>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3" name="Line 53">
            <a:extLst>
              <a:ext uri="{FF2B5EF4-FFF2-40B4-BE49-F238E27FC236}">
                <a16:creationId xmlns:a16="http://schemas.microsoft.com/office/drawing/2014/main" id="{5D4D07A9-E445-4A3B-BC9D-955AF308B5F0}"/>
              </a:ext>
            </a:extLst>
          </xdr:cNvPr>
          <xdr:cNvSpPr>
            <a:spLocks noChangeShapeType="1"/>
          </xdr:cNvSpPr>
        </xdr:nvSpPr>
        <xdr:spPr bwMode="auto">
          <a:xfrm>
            <a:off x="6315941" y="1028297"/>
            <a:ext cx="0" cy="460744"/>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4" name="Line 54">
            <a:extLst>
              <a:ext uri="{FF2B5EF4-FFF2-40B4-BE49-F238E27FC236}">
                <a16:creationId xmlns:a16="http://schemas.microsoft.com/office/drawing/2014/main" id="{D19AF829-027B-4C84-8E63-2D72699FCE31}"/>
              </a:ext>
            </a:extLst>
          </xdr:cNvPr>
          <xdr:cNvSpPr>
            <a:spLocks noChangeShapeType="1"/>
          </xdr:cNvSpPr>
        </xdr:nvSpPr>
        <xdr:spPr bwMode="auto">
          <a:xfrm>
            <a:off x="4998893" y="1258669"/>
            <a:ext cx="0" cy="57593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5" name="Line 55">
            <a:extLst>
              <a:ext uri="{FF2B5EF4-FFF2-40B4-BE49-F238E27FC236}">
                <a16:creationId xmlns:a16="http://schemas.microsoft.com/office/drawing/2014/main" id="{AA7F597A-B709-4A4F-8972-2C9332221576}"/>
              </a:ext>
            </a:extLst>
          </xdr:cNvPr>
          <xdr:cNvSpPr>
            <a:spLocks noChangeShapeType="1"/>
          </xdr:cNvSpPr>
        </xdr:nvSpPr>
        <xdr:spPr bwMode="auto">
          <a:xfrm>
            <a:off x="6716857" y="1258669"/>
            <a:ext cx="0" cy="57593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6" name="Line 56">
            <a:extLst>
              <a:ext uri="{FF2B5EF4-FFF2-40B4-BE49-F238E27FC236}">
                <a16:creationId xmlns:a16="http://schemas.microsoft.com/office/drawing/2014/main" id="{3FF09BB2-53A2-4D68-B2CE-8664FDEFCECB}"/>
              </a:ext>
            </a:extLst>
          </xdr:cNvPr>
          <xdr:cNvSpPr>
            <a:spLocks noChangeShapeType="1"/>
          </xdr:cNvSpPr>
        </xdr:nvSpPr>
        <xdr:spPr bwMode="auto">
          <a:xfrm flipH="1">
            <a:off x="4426527" y="913111"/>
            <a:ext cx="2294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7" name="Line 57">
            <a:extLst>
              <a:ext uri="{FF2B5EF4-FFF2-40B4-BE49-F238E27FC236}">
                <a16:creationId xmlns:a16="http://schemas.microsoft.com/office/drawing/2014/main" id="{DA809000-CB0A-4332-B577-3734E1FA57FB}"/>
              </a:ext>
            </a:extLst>
          </xdr:cNvPr>
          <xdr:cNvSpPr>
            <a:spLocks noChangeShapeType="1"/>
          </xdr:cNvSpPr>
        </xdr:nvSpPr>
        <xdr:spPr bwMode="auto">
          <a:xfrm flipH="1">
            <a:off x="4426527" y="1201076"/>
            <a:ext cx="343766"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sp macro="" textlink="">
        <xdr:nvSpPr>
          <xdr:cNvPr id="58" name="Line 58">
            <a:extLst>
              <a:ext uri="{FF2B5EF4-FFF2-40B4-BE49-F238E27FC236}">
                <a16:creationId xmlns:a16="http://schemas.microsoft.com/office/drawing/2014/main" id="{86B19693-4EE1-406D-BB4F-5927BAAFEAE2}"/>
              </a:ext>
            </a:extLst>
          </xdr:cNvPr>
          <xdr:cNvSpPr>
            <a:spLocks noChangeShapeType="1"/>
          </xdr:cNvSpPr>
        </xdr:nvSpPr>
        <xdr:spPr bwMode="auto">
          <a:xfrm>
            <a:off x="4998893" y="1489041"/>
            <a:ext cx="400916"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59" name="Line 59">
            <a:extLst>
              <a:ext uri="{FF2B5EF4-FFF2-40B4-BE49-F238E27FC236}">
                <a16:creationId xmlns:a16="http://schemas.microsoft.com/office/drawing/2014/main" id="{DAA8531B-7D69-4DFB-A2D5-67314A1831F1}"/>
              </a:ext>
            </a:extLst>
          </xdr:cNvPr>
          <xdr:cNvSpPr>
            <a:spLocks noChangeShapeType="1"/>
          </xdr:cNvSpPr>
        </xdr:nvSpPr>
        <xdr:spPr bwMode="auto">
          <a:xfrm>
            <a:off x="5399809" y="1489041"/>
            <a:ext cx="916132"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0" name="Line 60">
            <a:extLst>
              <a:ext uri="{FF2B5EF4-FFF2-40B4-BE49-F238E27FC236}">
                <a16:creationId xmlns:a16="http://schemas.microsoft.com/office/drawing/2014/main" id="{7C5A6C5F-D610-441B-AF94-138E2B1A5853}"/>
              </a:ext>
            </a:extLst>
          </xdr:cNvPr>
          <xdr:cNvSpPr>
            <a:spLocks noChangeShapeType="1"/>
          </xdr:cNvSpPr>
        </xdr:nvSpPr>
        <xdr:spPr bwMode="auto">
          <a:xfrm>
            <a:off x="6315941" y="1489041"/>
            <a:ext cx="400916"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1" name="Line 61">
            <a:extLst>
              <a:ext uri="{FF2B5EF4-FFF2-40B4-BE49-F238E27FC236}">
                <a16:creationId xmlns:a16="http://schemas.microsoft.com/office/drawing/2014/main" id="{B06F55F1-AA6B-4255-8CBA-2C8B8DBAF85E}"/>
              </a:ext>
            </a:extLst>
          </xdr:cNvPr>
          <xdr:cNvSpPr>
            <a:spLocks noChangeShapeType="1"/>
          </xdr:cNvSpPr>
        </xdr:nvSpPr>
        <xdr:spPr bwMode="auto">
          <a:xfrm flipV="1">
            <a:off x="4426527" y="913111"/>
            <a:ext cx="0" cy="287965"/>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2" name="Line 62">
            <a:extLst>
              <a:ext uri="{FF2B5EF4-FFF2-40B4-BE49-F238E27FC236}">
                <a16:creationId xmlns:a16="http://schemas.microsoft.com/office/drawing/2014/main" id="{A8EF890F-F8D0-43E5-AEC0-699DD86561F8}"/>
              </a:ext>
            </a:extLst>
          </xdr:cNvPr>
          <xdr:cNvSpPr>
            <a:spLocks noChangeShapeType="1"/>
          </xdr:cNvSpPr>
        </xdr:nvSpPr>
        <xdr:spPr bwMode="auto">
          <a:xfrm>
            <a:off x="4998893" y="1777006"/>
            <a:ext cx="1717964" cy="0"/>
          </a:xfrm>
          <a:prstGeom prst="line">
            <a:avLst/>
          </a:prstGeom>
          <a:noFill/>
          <a:ln w="1">
            <a:solidFill>
              <a:srgbClr xmlns:mc="http://schemas.openxmlformats.org/markup-compatibility/2006" xmlns:a14="http://schemas.microsoft.com/office/drawing/2010/main" val="000000" mc:Ignorable="a14" a14:legacySpreadsheetColorIndex="8"/>
            </a:solidFill>
            <a:round/>
            <a:headEnd type="arrow" w="sm" len="sm"/>
            <a:tailEnd type="arrow" w="sm" len="sm"/>
          </a:ln>
          <a:extLst>
            <a:ext uri="{909E8E84-426E-40DD-AFC4-6F175D3DCCD1}">
              <a14:hiddenFill xmlns:a14="http://schemas.microsoft.com/office/drawing/2010/main">
                <a:noFill/>
              </a14:hiddenFill>
            </a:ext>
          </a:extLst>
        </xdr:spPr>
      </xdr:sp>
      <xdr:sp macro="" textlink="">
        <xdr:nvSpPr>
          <xdr:cNvPr id="63" name="テキスト 62">
            <a:extLst>
              <a:ext uri="{FF2B5EF4-FFF2-40B4-BE49-F238E27FC236}">
                <a16:creationId xmlns:a16="http://schemas.microsoft.com/office/drawing/2014/main" id="{5D33B169-AE42-40E2-A0E0-1A8828A6DAA2}"/>
              </a:ext>
            </a:extLst>
          </xdr:cNvPr>
          <xdr:cNvSpPr txBox="1">
            <a:spLocks noChangeArrowheads="1"/>
          </xdr:cNvSpPr>
        </xdr:nvSpPr>
        <xdr:spPr bwMode="auto">
          <a:xfrm>
            <a:off x="4274127" y="1018698"/>
            <a:ext cx="180975" cy="105587"/>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vert="vert270" wrap="square" lIns="27432" tIns="18288" rIns="27432" bIns="18288" anchor="ctr" upright="1"/>
          <a:lstStyle/>
          <a:p>
            <a:pPr algn="ctr" rtl="0">
              <a:defRPr sz="1000"/>
            </a:pPr>
            <a:r>
              <a:rPr lang="ja-JP" altLang="en-US" sz="1000" b="0" i="0" u="none" strike="noStrike" baseline="0">
                <a:solidFill>
                  <a:srgbClr val="000000"/>
                </a:solidFill>
                <a:latin typeface="ＭＳ ゴシック"/>
                <a:ea typeface="ＭＳ ゴシック"/>
              </a:rPr>
              <a:t>V</a:t>
            </a:r>
            <a:endParaRPr lang="ja-JP" altLang="en-US"/>
          </a:p>
        </xdr:txBody>
      </xdr:sp>
      <xdr:sp macro="" textlink="">
        <xdr:nvSpPr>
          <xdr:cNvPr id="64" name="テキスト 67">
            <a:extLst>
              <a:ext uri="{FF2B5EF4-FFF2-40B4-BE49-F238E27FC236}">
                <a16:creationId xmlns:a16="http://schemas.microsoft.com/office/drawing/2014/main" id="{F2FEDD3B-18B3-4716-8844-E2D6899DC1C4}"/>
              </a:ext>
            </a:extLst>
          </xdr:cNvPr>
          <xdr:cNvSpPr txBox="1">
            <a:spLocks noChangeArrowheads="1"/>
          </xdr:cNvSpPr>
        </xdr:nvSpPr>
        <xdr:spPr bwMode="auto">
          <a:xfrm>
            <a:off x="5132243" y="1306663"/>
            <a:ext cx="162791"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5" name="テキスト 68">
            <a:extLst>
              <a:ext uri="{FF2B5EF4-FFF2-40B4-BE49-F238E27FC236}">
                <a16:creationId xmlns:a16="http://schemas.microsoft.com/office/drawing/2014/main" id="{69375104-DF89-4CF6-84D0-5445E53CF866}"/>
              </a:ext>
            </a:extLst>
          </xdr:cNvPr>
          <xdr:cNvSpPr txBox="1">
            <a:spLocks noChangeArrowheads="1"/>
          </xdr:cNvSpPr>
        </xdr:nvSpPr>
        <xdr:spPr bwMode="auto">
          <a:xfrm>
            <a:off x="5791200" y="1306663"/>
            <a:ext cx="10477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6" name="テキスト 69">
            <a:extLst>
              <a:ext uri="{FF2B5EF4-FFF2-40B4-BE49-F238E27FC236}">
                <a16:creationId xmlns:a16="http://schemas.microsoft.com/office/drawing/2014/main" id="{BF617BD5-261D-46E5-8B8A-1358D5606F54}"/>
              </a:ext>
            </a:extLst>
          </xdr:cNvPr>
          <xdr:cNvSpPr txBox="1">
            <a:spLocks noChangeArrowheads="1"/>
          </xdr:cNvSpPr>
        </xdr:nvSpPr>
        <xdr:spPr bwMode="auto">
          <a:xfrm>
            <a:off x="6439766" y="1306663"/>
            <a:ext cx="16192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sp macro="" textlink="">
        <xdr:nvSpPr>
          <xdr:cNvPr id="67" name="テキスト 70">
            <a:extLst>
              <a:ext uri="{FF2B5EF4-FFF2-40B4-BE49-F238E27FC236}">
                <a16:creationId xmlns:a16="http://schemas.microsoft.com/office/drawing/2014/main" id="{A679DBC9-3BEC-4611-B8EA-88926F5DF24F}"/>
              </a:ext>
            </a:extLst>
          </xdr:cNvPr>
          <xdr:cNvSpPr txBox="1">
            <a:spLocks noChangeArrowheads="1"/>
          </xdr:cNvSpPr>
        </xdr:nvSpPr>
        <xdr:spPr bwMode="auto">
          <a:xfrm>
            <a:off x="5791200" y="1565832"/>
            <a:ext cx="104775" cy="2015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18288" anchor="ctr" upright="1">
            <a:spAutoFit/>
          </a:bodyPr>
          <a:lstStyle/>
          <a:p>
            <a:pPr algn="ctr" rtl="0">
              <a:defRPr sz="1000"/>
            </a:pPr>
            <a:r>
              <a:rPr lang="ja-JP" altLang="en-US" sz="1000" b="0" i="0" u="none" strike="noStrike" baseline="0">
                <a:solidFill>
                  <a:srgbClr val="000000"/>
                </a:solidFill>
                <a:latin typeface="ＭＳ ゴシック"/>
                <a:ea typeface="ＭＳ ゴシック"/>
              </a:rPr>
              <a:t>B</a:t>
            </a:r>
            <a:endParaRPr lang="ja-JP" altLang="en-US"/>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176927</xdr:colOff>
      <xdr:row>33</xdr:row>
      <xdr:rowOff>112066</xdr:rowOff>
    </xdr:from>
    <xdr:to>
      <xdr:col>6</xdr:col>
      <xdr:colOff>1117044</xdr:colOff>
      <xdr:row>33</xdr:row>
      <xdr:rowOff>128587</xdr:rowOff>
    </xdr:to>
    <xdr:sp macro="" textlink="">
      <xdr:nvSpPr>
        <xdr:cNvPr id="36" name="正方形/長方形 35">
          <a:extLst>
            <a:ext uri="{FF2B5EF4-FFF2-40B4-BE49-F238E27FC236}">
              <a16:creationId xmlns:a16="http://schemas.microsoft.com/office/drawing/2014/main" id="{D4BF84B2-4D65-41C8-A470-378C4F0EFBC3}"/>
            </a:ext>
          </a:extLst>
        </xdr:cNvPr>
        <xdr:cNvSpPr/>
      </xdr:nvSpPr>
      <xdr:spPr>
        <a:xfrm>
          <a:off x="5177552" y="5741341"/>
          <a:ext cx="940117" cy="16521"/>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29</xdr:row>
      <xdr:rowOff>103989</xdr:rowOff>
    </xdr:from>
    <xdr:to>
      <xdr:col>6</xdr:col>
      <xdr:colOff>1117044</xdr:colOff>
      <xdr:row>30</xdr:row>
      <xdr:rowOff>130790</xdr:rowOff>
    </xdr:to>
    <xdr:sp macro="" textlink="">
      <xdr:nvSpPr>
        <xdr:cNvPr id="33" name="正方形/長方形 32">
          <a:extLst>
            <a:ext uri="{FF2B5EF4-FFF2-40B4-BE49-F238E27FC236}">
              <a16:creationId xmlns:a16="http://schemas.microsoft.com/office/drawing/2014/main" id="{C7C426B1-42C0-41BD-AD23-ED3733A48FBE}"/>
            </a:ext>
          </a:extLst>
        </xdr:cNvPr>
        <xdr:cNvSpPr/>
      </xdr:nvSpPr>
      <xdr:spPr>
        <a:xfrm>
          <a:off x="5177552" y="5047464"/>
          <a:ext cx="940117" cy="198251"/>
        </a:xfrm>
        <a:prstGeom prst="rect">
          <a:avLst/>
        </a:prstGeom>
        <a:blipFill>
          <a:blip xmlns:r="http://schemas.openxmlformats.org/officeDocument/2006/relationships" r:embed="rId1"/>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29</xdr:row>
      <xdr:rowOff>59383</xdr:rowOff>
    </xdr:from>
    <xdr:to>
      <xdr:col>6</xdr:col>
      <xdr:colOff>1117044</xdr:colOff>
      <xdr:row>29</xdr:row>
      <xdr:rowOff>103989</xdr:rowOff>
    </xdr:to>
    <xdr:sp macro="" textlink="">
      <xdr:nvSpPr>
        <xdr:cNvPr id="31" name="正方形/長方形 30">
          <a:extLst>
            <a:ext uri="{FF2B5EF4-FFF2-40B4-BE49-F238E27FC236}">
              <a16:creationId xmlns:a16="http://schemas.microsoft.com/office/drawing/2014/main" id="{95CE033D-A6E4-4400-ACC7-0CD58B78A25A}"/>
            </a:ext>
          </a:extLst>
        </xdr:cNvPr>
        <xdr:cNvSpPr/>
      </xdr:nvSpPr>
      <xdr:spPr>
        <a:xfrm>
          <a:off x="5177552" y="5002858"/>
          <a:ext cx="940117" cy="44606"/>
        </a:xfrm>
        <a:prstGeom prst="rect">
          <a:avLst/>
        </a:prstGeom>
        <a:pattFill prst="smConfetti">
          <a:fgClr>
            <a:srgbClr xmlns:mc="http://schemas.openxmlformats.org/markup-compatibility/2006" xmlns:a14="http://schemas.microsoft.com/office/drawing/2010/main" val="FFCC00" mc:Ignorable="a14" a14:legacySpreadsheetColorIndex="5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00" mc:Ignorable="a14" a14:legacySpreadsheetColorIndex="5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176927</xdr:colOff>
      <xdr:row>29</xdr:row>
      <xdr:rowOff>42863</xdr:rowOff>
    </xdr:from>
    <xdr:to>
      <xdr:col>6</xdr:col>
      <xdr:colOff>1117044</xdr:colOff>
      <xdr:row>29</xdr:row>
      <xdr:rowOff>59383</xdr:rowOff>
    </xdr:to>
    <xdr:sp macro="" textlink="">
      <xdr:nvSpPr>
        <xdr:cNvPr id="29" name="正方形/長方形 28">
          <a:extLst>
            <a:ext uri="{FF2B5EF4-FFF2-40B4-BE49-F238E27FC236}">
              <a16:creationId xmlns:a16="http://schemas.microsoft.com/office/drawing/2014/main" id="{1AD60461-7855-4A58-A847-1DC5B72FCC40}"/>
            </a:ext>
          </a:extLst>
        </xdr:cNvPr>
        <xdr:cNvSpPr/>
      </xdr:nvSpPr>
      <xdr:spPr>
        <a:xfrm>
          <a:off x="5177552" y="4986338"/>
          <a:ext cx="940117" cy="16520"/>
        </a:xfrm>
        <a:prstGeom prst="rect">
          <a:avLst/>
        </a:prstGeom>
        <a:pattFill prst="pct50">
          <a:fgClr>
            <a:srgbClr xmlns:mc="http://schemas.openxmlformats.org/markup-compatibility/2006" xmlns:a14="http://schemas.microsoft.com/office/drawing/2010/main" val="CCCCFF" mc:Ignorable="a14" a14:legacySpreadsheetColorIndex="3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Plastic">
          <a:extrusionClr>
            <a:srgbClr xmlns:mc="http://schemas.openxmlformats.org/markup-compatibility/2006" xmlns:a14="http://schemas.microsoft.com/office/drawing/2010/main" val="CCCCFF" mc:Ignorable="a14" a14:legacySpreadsheetColorIndex="3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6713</xdr:colOff>
      <xdr:row>13</xdr:row>
      <xdr:rowOff>97474</xdr:rowOff>
    </xdr:from>
    <xdr:to>
      <xdr:col>0</xdr:col>
      <xdr:colOff>394448</xdr:colOff>
      <xdr:row>16</xdr:row>
      <xdr:rowOff>81594</xdr:rowOff>
    </xdr:to>
    <xdr:sp macro="" textlink="">
      <xdr:nvSpPr>
        <xdr:cNvPr id="2" name="テキスト ボックス 1">
          <a:extLst>
            <a:ext uri="{FF2B5EF4-FFF2-40B4-BE49-F238E27FC236}">
              <a16:creationId xmlns:a16="http://schemas.microsoft.com/office/drawing/2014/main" id="{3FAC3268-20DF-459A-86AB-D44214CC0AE2}"/>
            </a:ext>
          </a:extLst>
        </xdr:cNvPr>
        <xdr:cNvSpPr txBox="1"/>
      </xdr:nvSpPr>
      <xdr:spPr>
        <a:xfrm>
          <a:off x="6713" y="22977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0</xdr:col>
      <xdr:colOff>302181</xdr:colOff>
      <xdr:row>11</xdr:row>
      <xdr:rowOff>3810</xdr:rowOff>
    </xdr:from>
    <xdr:to>
      <xdr:col>0</xdr:col>
      <xdr:colOff>320950</xdr:colOff>
      <xdr:row>19</xdr:row>
      <xdr:rowOff>3810</xdr:rowOff>
    </xdr:to>
    <xdr:sp macro="" textlink="">
      <xdr:nvSpPr>
        <xdr:cNvPr id="3" name="正方形/長方形 2">
          <a:extLst>
            <a:ext uri="{FF2B5EF4-FFF2-40B4-BE49-F238E27FC236}">
              <a16:creationId xmlns:a16="http://schemas.microsoft.com/office/drawing/2014/main" id="{DA2B6CEC-890B-4358-B37A-0BEE4B4B0D46}"/>
            </a:ext>
          </a:extLst>
        </xdr:cNvPr>
        <xdr:cNvSpPr/>
      </xdr:nvSpPr>
      <xdr:spPr>
        <a:xfrm>
          <a:off x="302181" y="1861185"/>
          <a:ext cx="18769" cy="1371600"/>
        </a:xfrm>
        <a:prstGeom prst="rect">
          <a:avLst/>
        </a:prstGeom>
        <a:blipFill>
          <a:blip xmlns:r="http://schemas.openxmlformats.org/officeDocument/2006/relationships" r:embed="rId2"/>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CFFCC" mc:Ignorable="a14" a14:legacySpreadsheetColorIndex="4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254415</xdr:colOff>
      <xdr:row>10</xdr:row>
      <xdr:rowOff>13335</xdr:rowOff>
    </xdr:from>
    <xdr:to>
      <xdr:col>0</xdr:col>
      <xdr:colOff>368715</xdr:colOff>
      <xdr:row>10</xdr:row>
      <xdr:rowOff>137160</xdr:rowOff>
    </xdr:to>
    <xdr:sp macro="" textlink="">
      <xdr:nvSpPr>
        <xdr:cNvPr id="4" name="テキスト ボックス 3">
          <a:extLst>
            <a:ext uri="{FF2B5EF4-FFF2-40B4-BE49-F238E27FC236}">
              <a16:creationId xmlns:a16="http://schemas.microsoft.com/office/drawing/2014/main" id="{EB790DC2-28D6-4470-A659-BFD3E626A632}"/>
            </a:ext>
          </a:extLst>
        </xdr:cNvPr>
        <xdr:cNvSpPr txBox="1"/>
      </xdr:nvSpPr>
      <xdr:spPr>
        <a:xfrm>
          <a:off x="254415"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320950</xdr:colOff>
      <xdr:row>11</xdr:row>
      <xdr:rowOff>3810</xdr:rowOff>
    </xdr:from>
    <xdr:to>
      <xdr:col>0</xdr:col>
      <xdr:colOff>367872</xdr:colOff>
      <xdr:row>19</xdr:row>
      <xdr:rowOff>3810</xdr:rowOff>
    </xdr:to>
    <xdr:sp macro="" textlink="">
      <xdr:nvSpPr>
        <xdr:cNvPr id="5" name="正方形/長方形 4">
          <a:extLst>
            <a:ext uri="{FF2B5EF4-FFF2-40B4-BE49-F238E27FC236}">
              <a16:creationId xmlns:a16="http://schemas.microsoft.com/office/drawing/2014/main" id="{ADBE5749-98FA-4195-AE4A-D2BE376CDD26}"/>
            </a:ext>
          </a:extLst>
        </xdr:cNvPr>
        <xdr:cNvSpPr/>
      </xdr:nvSpPr>
      <xdr:spPr>
        <a:xfrm>
          <a:off x="320950" y="1861185"/>
          <a:ext cx="46922" cy="1371600"/>
        </a:xfrm>
        <a:prstGeom prst="rect">
          <a:avLst/>
        </a:prstGeom>
        <a:blipFill>
          <a:blip xmlns:r="http://schemas.openxmlformats.org/officeDocument/2006/relationships" r:embed="rId3"/>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317280</xdr:colOff>
      <xdr:row>10</xdr:row>
      <xdr:rowOff>13335</xdr:rowOff>
    </xdr:from>
    <xdr:to>
      <xdr:col>0</xdr:col>
      <xdr:colOff>431580</xdr:colOff>
      <xdr:row>10</xdr:row>
      <xdr:rowOff>137160</xdr:rowOff>
    </xdr:to>
    <xdr:sp macro="" textlink="">
      <xdr:nvSpPr>
        <xdr:cNvPr id="6" name="テキスト ボックス 5">
          <a:extLst>
            <a:ext uri="{FF2B5EF4-FFF2-40B4-BE49-F238E27FC236}">
              <a16:creationId xmlns:a16="http://schemas.microsoft.com/office/drawing/2014/main" id="{F5B64AB4-04CD-4260-87F3-351BF582F40D}"/>
            </a:ext>
          </a:extLst>
        </xdr:cNvPr>
        <xdr:cNvSpPr txBox="1"/>
      </xdr:nvSpPr>
      <xdr:spPr>
        <a:xfrm>
          <a:off x="317280"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0</xdr:col>
      <xdr:colOff>367872</xdr:colOff>
      <xdr:row>11</xdr:row>
      <xdr:rowOff>3810</xdr:rowOff>
    </xdr:from>
    <xdr:to>
      <xdr:col>0</xdr:col>
      <xdr:colOff>649407</xdr:colOff>
      <xdr:row>19</xdr:row>
      <xdr:rowOff>3810</xdr:rowOff>
    </xdr:to>
    <xdr:sp macro="" textlink="">
      <xdr:nvSpPr>
        <xdr:cNvPr id="7" name="正方形/長方形 6">
          <a:extLst>
            <a:ext uri="{FF2B5EF4-FFF2-40B4-BE49-F238E27FC236}">
              <a16:creationId xmlns:a16="http://schemas.microsoft.com/office/drawing/2014/main" id="{CD8C92B0-C545-4656-ABB7-DC9A1E469C0A}"/>
            </a:ext>
          </a:extLst>
        </xdr:cNvPr>
        <xdr:cNvSpPr/>
      </xdr:nvSpPr>
      <xdr:spPr>
        <a:xfrm>
          <a:off x="367872" y="1861185"/>
          <a:ext cx="281535" cy="1371600"/>
        </a:xfrm>
        <a:prstGeom prst="rect">
          <a:avLst/>
        </a:prstGeom>
        <a:blipFill>
          <a:blip xmlns:r="http://schemas.openxmlformats.org/officeDocument/2006/relationships" r:embed="rId3"/>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451489</xdr:colOff>
      <xdr:row>10</xdr:row>
      <xdr:rowOff>13335</xdr:rowOff>
    </xdr:from>
    <xdr:to>
      <xdr:col>0</xdr:col>
      <xdr:colOff>565789</xdr:colOff>
      <xdr:row>10</xdr:row>
      <xdr:rowOff>137160</xdr:rowOff>
    </xdr:to>
    <xdr:sp macro="" textlink="">
      <xdr:nvSpPr>
        <xdr:cNvPr id="8" name="テキスト ボックス 7">
          <a:extLst>
            <a:ext uri="{FF2B5EF4-FFF2-40B4-BE49-F238E27FC236}">
              <a16:creationId xmlns:a16="http://schemas.microsoft.com/office/drawing/2014/main" id="{DAD27B73-7AC6-47A8-B191-A43EE7A86465}"/>
            </a:ext>
          </a:extLst>
        </xdr:cNvPr>
        <xdr:cNvSpPr txBox="1"/>
      </xdr:nvSpPr>
      <xdr:spPr>
        <a:xfrm>
          <a:off x="451489"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0</xdr:col>
      <xdr:colOff>649407</xdr:colOff>
      <xdr:row>11</xdr:row>
      <xdr:rowOff>3810</xdr:rowOff>
    </xdr:from>
    <xdr:to>
      <xdr:col>0</xdr:col>
      <xdr:colOff>696329</xdr:colOff>
      <xdr:row>19</xdr:row>
      <xdr:rowOff>3810</xdr:rowOff>
    </xdr:to>
    <xdr:sp macro="" textlink="">
      <xdr:nvSpPr>
        <xdr:cNvPr id="9" name="正方形/長方形 8">
          <a:extLst>
            <a:ext uri="{FF2B5EF4-FFF2-40B4-BE49-F238E27FC236}">
              <a16:creationId xmlns:a16="http://schemas.microsoft.com/office/drawing/2014/main" id="{EF1AA7FE-FF0D-4146-A186-BF48A5E1E7DB}"/>
            </a:ext>
          </a:extLst>
        </xdr:cNvPr>
        <xdr:cNvSpPr/>
      </xdr:nvSpPr>
      <xdr:spPr>
        <a:xfrm>
          <a:off x="649407" y="1861185"/>
          <a:ext cx="46922" cy="1371600"/>
        </a:xfrm>
        <a:prstGeom prst="rect">
          <a:avLst/>
        </a:prstGeom>
        <a:pattFill prst="openDmnd">
          <a:fgClr>
            <a:srgbClr val="FFFF00"/>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FF99" mc:Ignorable="a14" a14:legacySpreadsheetColorIndex="43"/>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615718</xdr:colOff>
      <xdr:row>10</xdr:row>
      <xdr:rowOff>13335</xdr:rowOff>
    </xdr:from>
    <xdr:to>
      <xdr:col>0</xdr:col>
      <xdr:colOff>730018</xdr:colOff>
      <xdr:row>10</xdr:row>
      <xdr:rowOff>137160</xdr:rowOff>
    </xdr:to>
    <xdr:sp macro="" textlink="">
      <xdr:nvSpPr>
        <xdr:cNvPr id="10" name="テキスト ボックス 9">
          <a:extLst>
            <a:ext uri="{FF2B5EF4-FFF2-40B4-BE49-F238E27FC236}">
              <a16:creationId xmlns:a16="http://schemas.microsoft.com/office/drawing/2014/main" id="{522F1D7E-B51F-4FE9-A5C1-0D3039EDDB4B}"/>
            </a:ext>
          </a:extLst>
        </xdr:cNvPr>
        <xdr:cNvSpPr txBox="1"/>
      </xdr:nvSpPr>
      <xdr:spPr>
        <a:xfrm>
          <a:off x="615718"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0</xdr:col>
      <xdr:colOff>733024</xdr:colOff>
      <xdr:row>10</xdr:row>
      <xdr:rowOff>13335</xdr:rowOff>
    </xdr:from>
    <xdr:to>
      <xdr:col>0</xdr:col>
      <xdr:colOff>847324</xdr:colOff>
      <xdr:row>10</xdr:row>
      <xdr:rowOff>137160</xdr:rowOff>
    </xdr:to>
    <xdr:sp macro="" textlink="">
      <xdr:nvSpPr>
        <xdr:cNvPr id="11" name="テキスト ボックス 10">
          <a:extLst>
            <a:ext uri="{FF2B5EF4-FFF2-40B4-BE49-F238E27FC236}">
              <a16:creationId xmlns:a16="http://schemas.microsoft.com/office/drawing/2014/main" id="{5AF810F9-E3FD-4C18-806B-8FAE1953750D}"/>
            </a:ext>
          </a:extLst>
        </xdr:cNvPr>
        <xdr:cNvSpPr txBox="1"/>
      </xdr:nvSpPr>
      <xdr:spPr>
        <a:xfrm>
          <a:off x="733024"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0</xdr:col>
      <xdr:colOff>884019</xdr:colOff>
      <xdr:row>11</xdr:row>
      <xdr:rowOff>3810</xdr:rowOff>
    </xdr:from>
    <xdr:to>
      <xdr:col>0</xdr:col>
      <xdr:colOff>906542</xdr:colOff>
      <xdr:row>19</xdr:row>
      <xdr:rowOff>3810</xdr:rowOff>
    </xdr:to>
    <xdr:sp macro="" textlink="">
      <xdr:nvSpPr>
        <xdr:cNvPr id="12" name="正方形/長方形 11">
          <a:extLst>
            <a:ext uri="{FF2B5EF4-FFF2-40B4-BE49-F238E27FC236}">
              <a16:creationId xmlns:a16="http://schemas.microsoft.com/office/drawing/2014/main" id="{D7A06B00-8023-4342-BDCD-129F5072E1A8}"/>
            </a:ext>
          </a:extLst>
        </xdr:cNvPr>
        <xdr:cNvSpPr/>
      </xdr:nvSpPr>
      <xdr:spPr>
        <a:xfrm>
          <a:off x="884019" y="1861185"/>
          <a:ext cx="22523" cy="1371600"/>
        </a:xfrm>
        <a:prstGeom prst="rect">
          <a:avLst/>
        </a:prstGeom>
        <a:pattFill prst="ltUpDiag">
          <a:fgClr>
            <a:srgbClr xmlns:mc="http://schemas.openxmlformats.org/markup-compatibility/2006" xmlns:a14="http://schemas.microsoft.com/office/drawing/2010/main" val="FFCC99" mc:Ignorable="a14" a14:legacySpreadsheetColorIndex="47"/>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99" mc:Ignorable="a14" a14:legacySpreadsheetColorIndex="47"/>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838131</xdr:colOff>
      <xdr:row>10</xdr:row>
      <xdr:rowOff>13335</xdr:rowOff>
    </xdr:from>
    <xdr:to>
      <xdr:col>0</xdr:col>
      <xdr:colOff>952431</xdr:colOff>
      <xdr:row>10</xdr:row>
      <xdr:rowOff>137160</xdr:rowOff>
    </xdr:to>
    <xdr:sp macro="" textlink="">
      <xdr:nvSpPr>
        <xdr:cNvPr id="13" name="テキスト ボックス 12">
          <a:extLst>
            <a:ext uri="{FF2B5EF4-FFF2-40B4-BE49-F238E27FC236}">
              <a16:creationId xmlns:a16="http://schemas.microsoft.com/office/drawing/2014/main" id="{F1BCD641-E9AB-420A-A0B2-B0E10D8F1608}"/>
            </a:ext>
          </a:extLst>
        </xdr:cNvPr>
        <xdr:cNvSpPr txBox="1"/>
      </xdr:nvSpPr>
      <xdr:spPr>
        <a:xfrm>
          <a:off x="838131"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6</a:t>
          </a:r>
          <a:endParaRPr kumimoji="1" lang="ja-JP" altLang="en-US" sz="800" b="0" i="0">
            <a:latin typeface="ＭＳ Ｐゴシック" panose="020B0600070205080204" pitchFamily="50" charset="-128"/>
          </a:endParaRPr>
        </a:p>
      </xdr:txBody>
    </xdr:sp>
    <xdr:clientData/>
  </xdr:twoCellAnchor>
  <xdr:twoCellAnchor>
    <xdr:from>
      <xdr:col>0</xdr:col>
      <xdr:colOff>1017474</xdr:colOff>
      <xdr:row>13</xdr:row>
      <xdr:rowOff>97474</xdr:rowOff>
    </xdr:from>
    <xdr:to>
      <xdr:col>1</xdr:col>
      <xdr:colOff>62184</xdr:colOff>
      <xdr:row>16</xdr:row>
      <xdr:rowOff>81594</xdr:rowOff>
    </xdr:to>
    <xdr:sp macro="" textlink="">
      <xdr:nvSpPr>
        <xdr:cNvPr id="14" name="テキスト ボックス 13">
          <a:extLst>
            <a:ext uri="{FF2B5EF4-FFF2-40B4-BE49-F238E27FC236}">
              <a16:creationId xmlns:a16="http://schemas.microsoft.com/office/drawing/2014/main" id="{1029C744-B183-4CEA-AE88-57B221A82CF8}"/>
            </a:ext>
          </a:extLst>
        </xdr:cNvPr>
        <xdr:cNvSpPr txBox="1"/>
      </xdr:nvSpPr>
      <xdr:spPr>
        <a:xfrm>
          <a:off x="1017474" y="22977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0</xdr:col>
      <xdr:colOff>553561</xdr:colOff>
      <xdr:row>27</xdr:row>
      <xdr:rowOff>13335</xdr:rowOff>
    </xdr:from>
    <xdr:to>
      <xdr:col>0</xdr:col>
      <xdr:colOff>655161</xdr:colOff>
      <xdr:row>27</xdr:row>
      <xdr:rowOff>137160</xdr:rowOff>
    </xdr:to>
    <xdr:sp macro="" textlink="">
      <xdr:nvSpPr>
        <xdr:cNvPr id="15" name="テキスト ボックス 14">
          <a:extLst>
            <a:ext uri="{FF2B5EF4-FFF2-40B4-BE49-F238E27FC236}">
              <a16:creationId xmlns:a16="http://schemas.microsoft.com/office/drawing/2014/main" id="{223676BC-45CC-4E76-8CCC-7B2096CBAC31}"/>
            </a:ext>
          </a:extLst>
        </xdr:cNvPr>
        <xdr:cNvSpPr txBox="1"/>
      </xdr:nvSpPr>
      <xdr:spPr>
        <a:xfrm>
          <a:off x="553561" y="4613910"/>
          <a:ext cx="1016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0</xdr:col>
      <xdr:colOff>228312</xdr:colOff>
      <xdr:row>30</xdr:row>
      <xdr:rowOff>97474</xdr:rowOff>
    </xdr:from>
    <xdr:to>
      <xdr:col>0</xdr:col>
      <xdr:colOff>616047</xdr:colOff>
      <xdr:row>33</xdr:row>
      <xdr:rowOff>81594</xdr:rowOff>
    </xdr:to>
    <xdr:sp macro="" textlink="">
      <xdr:nvSpPr>
        <xdr:cNvPr id="16" name="テキスト ボックス 15">
          <a:extLst>
            <a:ext uri="{FF2B5EF4-FFF2-40B4-BE49-F238E27FC236}">
              <a16:creationId xmlns:a16="http://schemas.microsoft.com/office/drawing/2014/main" id="{0ED5739E-8160-4D3C-A3A8-4311447F73A2}"/>
            </a:ext>
          </a:extLst>
        </xdr:cNvPr>
        <xdr:cNvSpPr txBox="1"/>
      </xdr:nvSpPr>
      <xdr:spPr>
        <a:xfrm>
          <a:off x="228312" y="521239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屋外</a:t>
          </a:r>
        </a:p>
      </xdr:txBody>
    </xdr:sp>
    <xdr:clientData/>
  </xdr:twoCellAnchor>
  <xdr:twoCellAnchor>
    <xdr:from>
      <xdr:col>0</xdr:col>
      <xdr:colOff>523780</xdr:colOff>
      <xdr:row>28</xdr:row>
      <xdr:rowOff>3810</xdr:rowOff>
    </xdr:from>
    <xdr:to>
      <xdr:col>0</xdr:col>
      <xdr:colOff>550640</xdr:colOff>
      <xdr:row>36</xdr:row>
      <xdr:rowOff>3810</xdr:rowOff>
    </xdr:to>
    <xdr:sp macro="" textlink="">
      <xdr:nvSpPr>
        <xdr:cNvPr id="17" name="正方形/長方形 16">
          <a:extLst>
            <a:ext uri="{FF2B5EF4-FFF2-40B4-BE49-F238E27FC236}">
              <a16:creationId xmlns:a16="http://schemas.microsoft.com/office/drawing/2014/main" id="{DDBEDB6F-D7FF-4F40-8FDF-AD785E7A8A6F}"/>
            </a:ext>
          </a:extLst>
        </xdr:cNvPr>
        <xdr:cNvSpPr/>
      </xdr:nvSpPr>
      <xdr:spPr>
        <a:xfrm>
          <a:off x="523780" y="4775835"/>
          <a:ext cx="26860" cy="1371600"/>
        </a:xfrm>
        <a:prstGeom prst="rect">
          <a:avLst/>
        </a:prstGeom>
        <a:pattFill prst="pct50">
          <a:fgClr>
            <a:srgbClr xmlns:mc="http://schemas.openxmlformats.org/markup-compatibility/2006" xmlns:a14="http://schemas.microsoft.com/office/drawing/2010/main" val="C0C0C0" mc:Ignorable="a14" a14:legacySpreadsheetColorIndex="22"/>
          </a:fgClr>
          <a:bgClr>
            <a:srgbClr val="FFFFFF"/>
          </a:bgClr>
        </a:pattFill>
        <a:ln w="317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a:scene3d>
          <a:camera prst="legacyObliqueTopRight"/>
          <a:lightRig rig="threePt" dir="tl"/>
        </a:scene3d>
        <a:sp3d extrusionH="457200" prstMaterial="clear">
          <a:extrusionClr>
            <a:srgbClr xmlns:mc="http://schemas.openxmlformats.org/markup-compatibility/2006" xmlns:a14="http://schemas.microsoft.com/office/drawing/2010/main" val="C0C0C0" mc:Ignorable="a14" a14:legacySpreadsheetColorIndex="2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658082</xdr:colOff>
      <xdr:row>28</xdr:row>
      <xdr:rowOff>3810</xdr:rowOff>
    </xdr:from>
    <xdr:to>
      <xdr:col>0</xdr:col>
      <xdr:colOff>684943</xdr:colOff>
      <xdr:row>36</xdr:row>
      <xdr:rowOff>3810</xdr:rowOff>
    </xdr:to>
    <xdr:sp macro="" textlink="">
      <xdr:nvSpPr>
        <xdr:cNvPr id="18" name="正方形/長方形 17">
          <a:extLst>
            <a:ext uri="{FF2B5EF4-FFF2-40B4-BE49-F238E27FC236}">
              <a16:creationId xmlns:a16="http://schemas.microsoft.com/office/drawing/2014/main" id="{C4E94A4C-F9CB-4C72-A893-6CFE7F204463}"/>
            </a:ext>
          </a:extLst>
        </xdr:cNvPr>
        <xdr:cNvSpPr/>
      </xdr:nvSpPr>
      <xdr:spPr>
        <a:xfrm>
          <a:off x="658082" y="4775835"/>
          <a:ext cx="26861" cy="1371600"/>
        </a:xfrm>
        <a:prstGeom prst="rect">
          <a:avLst/>
        </a:prstGeom>
        <a:pattFill prst="pct50">
          <a:fgClr>
            <a:srgbClr xmlns:mc="http://schemas.openxmlformats.org/markup-compatibility/2006" xmlns:a14="http://schemas.microsoft.com/office/drawing/2010/main" val="C0C0C0" mc:Ignorable="a14" a14:legacySpreadsheetColorIndex="22"/>
          </a:fgClr>
          <a:bgClr>
            <a:srgbClr val="FFFFFF"/>
          </a:bgClr>
        </a:pattFill>
        <a:ln w="3175" cap="flat" cmpd="sng" algn="ctr">
          <a:solidFill>
            <a:srgbClr xmlns:mc="http://schemas.openxmlformats.org/markup-compatibility/2006" xmlns:a14="http://schemas.microsoft.com/office/drawing/2010/main" val="000000" mc:Ignorable="a14" a14:legacySpreadsheetColorIndex="64"/>
          </a:solidFill>
          <a:prstDash val="solid"/>
          <a:miter lim="800000"/>
          <a:headEnd type="none" w="med" len="med"/>
          <a:tailEnd type="none" w="med" len="med"/>
        </a:ln>
        <a:scene3d>
          <a:camera prst="legacyObliqueTopRight"/>
          <a:lightRig rig="threePt" dir="tl"/>
        </a:scene3d>
        <a:sp3d extrusionH="457200" prstMaterial="clear">
          <a:extrusionClr>
            <a:srgbClr xmlns:mc="http://schemas.openxmlformats.org/markup-compatibility/2006" xmlns:a14="http://schemas.microsoft.com/office/drawing/2010/main" val="C0C0C0" mc:Ignorable="a14" a14:legacySpreadsheetColorIndex="2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795875</xdr:colOff>
      <xdr:row>30</xdr:row>
      <xdr:rowOff>97474</xdr:rowOff>
    </xdr:from>
    <xdr:to>
      <xdr:col>0</xdr:col>
      <xdr:colOff>1183610</xdr:colOff>
      <xdr:row>33</xdr:row>
      <xdr:rowOff>81594</xdr:rowOff>
    </xdr:to>
    <xdr:sp macro="" textlink="">
      <xdr:nvSpPr>
        <xdr:cNvPr id="19" name="テキスト ボックス 18">
          <a:extLst>
            <a:ext uri="{FF2B5EF4-FFF2-40B4-BE49-F238E27FC236}">
              <a16:creationId xmlns:a16="http://schemas.microsoft.com/office/drawing/2014/main" id="{65123F40-781F-4176-AC31-AF7DA5E35191}"/>
            </a:ext>
          </a:extLst>
        </xdr:cNvPr>
        <xdr:cNvSpPr txBox="1"/>
      </xdr:nvSpPr>
      <xdr:spPr>
        <a:xfrm>
          <a:off x="795875" y="521239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6712</xdr:colOff>
      <xdr:row>13</xdr:row>
      <xdr:rowOff>97474</xdr:rowOff>
    </xdr:from>
    <xdr:to>
      <xdr:col>6</xdr:col>
      <xdr:colOff>394447</xdr:colOff>
      <xdr:row>16</xdr:row>
      <xdr:rowOff>81594</xdr:rowOff>
    </xdr:to>
    <xdr:sp macro="" textlink="">
      <xdr:nvSpPr>
        <xdr:cNvPr id="20" name="テキスト ボックス 19">
          <a:extLst>
            <a:ext uri="{FF2B5EF4-FFF2-40B4-BE49-F238E27FC236}">
              <a16:creationId xmlns:a16="http://schemas.microsoft.com/office/drawing/2014/main" id="{303C7F5A-28D9-494E-8038-861BE39E3891}"/>
            </a:ext>
          </a:extLst>
        </xdr:cNvPr>
        <xdr:cNvSpPr txBox="1"/>
      </xdr:nvSpPr>
      <xdr:spPr>
        <a:xfrm>
          <a:off x="5007337" y="22977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302180</xdr:colOff>
      <xdr:row>11</xdr:row>
      <xdr:rowOff>3810</xdr:rowOff>
    </xdr:from>
    <xdr:to>
      <xdr:col>6</xdr:col>
      <xdr:colOff>365797</xdr:colOff>
      <xdr:row>19</xdr:row>
      <xdr:rowOff>3810</xdr:rowOff>
    </xdr:to>
    <xdr:sp macro="" textlink="">
      <xdr:nvSpPr>
        <xdr:cNvPr id="21" name="正方形/長方形 20">
          <a:extLst>
            <a:ext uri="{FF2B5EF4-FFF2-40B4-BE49-F238E27FC236}">
              <a16:creationId xmlns:a16="http://schemas.microsoft.com/office/drawing/2014/main" id="{5DB9A61E-80A3-47E3-826A-98A773E4BC45}"/>
            </a:ext>
          </a:extLst>
        </xdr:cNvPr>
        <xdr:cNvSpPr/>
      </xdr:nvSpPr>
      <xdr:spPr>
        <a:xfrm>
          <a:off x="5302805" y="1861185"/>
          <a:ext cx="63617" cy="1371600"/>
        </a:xfrm>
        <a:prstGeom prst="rect">
          <a:avLst/>
        </a:prstGeom>
        <a:pattFill prst="smConfetti">
          <a:fgClr>
            <a:srgbClr xmlns:mc="http://schemas.openxmlformats.org/markup-compatibility/2006" xmlns:a14="http://schemas.microsoft.com/office/drawing/2010/main" val="FFCC00" mc:Ignorable="a14" a14:legacySpreadsheetColorIndex="5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00" mc:Ignorable="a14" a14:legacySpreadsheetColorIndex="5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276839</xdr:colOff>
      <xdr:row>10</xdr:row>
      <xdr:rowOff>13335</xdr:rowOff>
    </xdr:from>
    <xdr:to>
      <xdr:col>6</xdr:col>
      <xdr:colOff>391139</xdr:colOff>
      <xdr:row>10</xdr:row>
      <xdr:rowOff>137160</xdr:rowOff>
    </xdr:to>
    <xdr:sp macro="" textlink="">
      <xdr:nvSpPr>
        <xdr:cNvPr id="22" name="テキスト ボックス 21">
          <a:extLst>
            <a:ext uri="{FF2B5EF4-FFF2-40B4-BE49-F238E27FC236}">
              <a16:creationId xmlns:a16="http://schemas.microsoft.com/office/drawing/2014/main" id="{086B6E0F-1CA0-46F1-8230-40BB8B10EBE4}"/>
            </a:ext>
          </a:extLst>
        </xdr:cNvPr>
        <xdr:cNvSpPr txBox="1"/>
      </xdr:nvSpPr>
      <xdr:spPr>
        <a:xfrm>
          <a:off x="5277464"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365797</xdr:colOff>
      <xdr:row>11</xdr:row>
      <xdr:rowOff>3810</xdr:rowOff>
    </xdr:from>
    <xdr:to>
      <xdr:col>6</xdr:col>
      <xdr:colOff>842925</xdr:colOff>
      <xdr:row>19</xdr:row>
      <xdr:rowOff>3810</xdr:rowOff>
    </xdr:to>
    <xdr:sp macro="" textlink="">
      <xdr:nvSpPr>
        <xdr:cNvPr id="23" name="正方形/長方形 22">
          <a:extLst>
            <a:ext uri="{FF2B5EF4-FFF2-40B4-BE49-F238E27FC236}">
              <a16:creationId xmlns:a16="http://schemas.microsoft.com/office/drawing/2014/main" id="{6DDD0864-F17A-4E1C-AD07-3F4C59A5409A}"/>
            </a:ext>
          </a:extLst>
        </xdr:cNvPr>
        <xdr:cNvSpPr/>
      </xdr:nvSpPr>
      <xdr:spPr>
        <a:xfrm>
          <a:off x="5366422" y="1861185"/>
          <a:ext cx="477128" cy="1371600"/>
        </a:xfrm>
        <a:prstGeom prst="rect">
          <a:avLst/>
        </a:prstGeom>
        <a:blipFill>
          <a:blip xmlns:r="http://schemas.openxmlformats.org/officeDocument/2006/relationships" r:embed="rId3"/>
          <a:stretch>
            <a:fillRect/>
          </a:stretch>
        </a:blip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C0C0C0" mc:Ignorable="a14" a14:legacySpreadsheetColorIndex="22"/>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547211</xdr:colOff>
      <xdr:row>10</xdr:row>
      <xdr:rowOff>13335</xdr:rowOff>
    </xdr:from>
    <xdr:to>
      <xdr:col>6</xdr:col>
      <xdr:colOff>661511</xdr:colOff>
      <xdr:row>10</xdr:row>
      <xdr:rowOff>137160</xdr:rowOff>
    </xdr:to>
    <xdr:sp macro="" textlink="">
      <xdr:nvSpPr>
        <xdr:cNvPr id="24" name="テキスト ボックス 23">
          <a:extLst>
            <a:ext uri="{FF2B5EF4-FFF2-40B4-BE49-F238E27FC236}">
              <a16:creationId xmlns:a16="http://schemas.microsoft.com/office/drawing/2014/main" id="{4F45574B-14BB-4BB4-827A-58CB8012FF53}"/>
            </a:ext>
          </a:extLst>
        </xdr:cNvPr>
        <xdr:cNvSpPr txBox="1"/>
      </xdr:nvSpPr>
      <xdr:spPr>
        <a:xfrm>
          <a:off x="5547836"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6</xdr:col>
      <xdr:colOff>842925</xdr:colOff>
      <xdr:row>11</xdr:row>
      <xdr:rowOff>3810</xdr:rowOff>
    </xdr:from>
    <xdr:to>
      <xdr:col>6</xdr:col>
      <xdr:colOff>906542</xdr:colOff>
      <xdr:row>19</xdr:row>
      <xdr:rowOff>3810</xdr:rowOff>
    </xdr:to>
    <xdr:sp macro="" textlink="">
      <xdr:nvSpPr>
        <xdr:cNvPr id="25" name="正方形/長方形 24">
          <a:extLst>
            <a:ext uri="{FF2B5EF4-FFF2-40B4-BE49-F238E27FC236}">
              <a16:creationId xmlns:a16="http://schemas.microsoft.com/office/drawing/2014/main" id="{F7A441CE-958E-4AB3-A73B-821E0E9C33E1}"/>
            </a:ext>
          </a:extLst>
        </xdr:cNvPr>
        <xdr:cNvSpPr/>
      </xdr:nvSpPr>
      <xdr:spPr>
        <a:xfrm>
          <a:off x="5843550" y="1861185"/>
          <a:ext cx="63617" cy="1371600"/>
        </a:xfrm>
        <a:prstGeom prst="rect">
          <a:avLst/>
        </a:prstGeom>
        <a:pattFill prst="smConfetti">
          <a:fgClr>
            <a:srgbClr xmlns:mc="http://schemas.openxmlformats.org/markup-compatibility/2006" xmlns:a14="http://schemas.microsoft.com/office/drawing/2010/main" val="FFCC00" mc:Ignorable="a14" a14:legacySpreadsheetColorIndex="51"/>
          </a:fgClr>
          <a:bgClr>
            <a:srgbClr val="FFFFFF"/>
          </a:bgClr>
        </a:pattFill>
        <a:ln w="3175" cap="flat" cmpd="sng" algn="ctr">
          <a:noFill/>
          <a:prstDash val="solid"/>
          <a:miter lim="800000"/>
          <a:headEnd type="none" w="med" len="med"/>
          <a:tailEnd type="none" w="med" len="med"/>
        </a:ln>
        <a:effectLst/>
        <a:scene3d>
          <a:camera prst="legacyObliqueTopRight"/>
          <a:lightRig rig="soft" dir="tl"/>
        </a:scene3d>
        <a:sp3d extrusionH="457200" prstMaterial="legacyMatte">
          <a:extrusionClr>
            <a:srgbClr xmlns:mc="http://schemas.openxmlformats.org/markup-compatibility/2006" xmlns:a14="http://schemas.microsoft.com/office/drawing/2010/main" val="FFCC00" mc:Ignorable="a14" a14:legacySpreadsheetColorIndex="51"/>
          </a:extrusionClr>
        </a:sp3d>
        <a:extLst>
          <a:ext uri="{91240B29-F687-4F45-9708-019B960494DF}">
            <a14:hiddenLine xmlns:a14="http://schemas.microsoft.com/office/drawing/2010/main" w="3175" cap="flat" cmpd="sng" algn="ctr">
              <a:solidFill>
                <a:srgbClr xmlns:mc="http://schemas.openxmlformats.org/markup-compatibility/2006" val="000000" mc:Ignorable="a14" a14:legacySpreadsheetColorIndex="64"/>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817583</xdr:colOff>
      <xdr:row>10</xdr:row>
      <xdr:rowOff>13335</xdr:rowOff>
    </xdr:from>
    <xdr:to>
      <xdr:col>6</xdr:col>
      <xdr:colOff>931883</xdr:colOff>
      <xdr:row>10</xdr:row>
      <xdr:rowOff>137160</xdr:rowOff>
    </xdr:to>
    <xdr:sp macro="" textlink="">
      <xdr:nvSpPr>
        <xdr:cNvPr id="26" name="テキスト ボックス 25">
          <a:extLst>
            <a:ext uri="{FF2B5EF4-FFF2-40B4-BE49-F238E27FC236}">
              <a16:creationId xmlns:a16="http://schemas.microsoft.com/office/drawing/2014/main" id="{94BED133-EAC3-4641-AF70-4A006B46E2F8}"/>
            </a:ext>
          </a:extLst>
        </xdr:cNvPr>
        <xdr:cNvSpPr txBox="1"/>
      </xdr:nvSpPr>
      <xdr:spPr>
        <a:xfrm>
          <a:off x="5818208" y="1699260"/>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6</xdr:col>
      <xdr:colOff>1017474</xdr:colOff>
      <xdr:row>13</xdr:row>
      <xdr:rowOff>97474</xdr:rowOff>
    </xdr:from>
    <xdr:to>
      <xdr:col>7</xdr:col>
      <xdr:colOff>62184</xdr:colOff>
      <xdr:row>16</xdr:row>
      <xdr:rowOff>81594</xdr:rowOff>
    </xdr:to>
    <xdr:sp macro="" textlink="">
      <xdr:nvSpPr>
        <xdr:cNvPr id="27" name="テキスト ボックス 26">
          <a:extLst>
            <a:ext uri="{FF2B5EF4-FFF2-40B4-BE49-F238E27FC236}">
              <a16:creationId xmlns:a16="http://schemas.microsoft.com/office/drawing/2014/main" id="{D7F8DF20-DCB5-4574-A841-AFDE65B9841B}"/>
            </a:ext>
          </a:extLst>
        </xdr:cNvPr>
        <xdr:cNvSpPr txBox="1"/>
      </xdr:nvSpPr>
      <xdr:spPr>
        <a:xfrm>
          <a:off x="6018099" y="2297749"/>
          <a:ext cx="387735" cy="49847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wordArtVertRtl"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528137</xdr:colOff>
      <xdr:row>26</xdr:row>
      <xdr:rowOff>135049</xdr:rowOff>
    </xdr:from>
    <xdr:to>
      <xdr:col>6</xdr:col>
      <xdr:colOff>943635</xdr:colOff>
      <xdr:row>28</xdr:row>
      <xdr:rowOff>77676</xdr:rowOff>
    </xdr:to>
    <xdr:sp macro="" textlink="">
      <xdr:nvSpPr>
        <xdr:cNvPr id="28" name="テキスト ボックス 27">
          <a:extLst>
            <a:ext uri="{FF2B5EF4-FFF2-40B4-BE49-F238E27FC236}">
              <a16:creationId xmlns:a16="http://schemas.microsoft.com/office/drawing/2014/main" id="{220F6459-C9B2-4032-B677-A466C36F3434}"/>
            </a:ext>
          </a:extLst>
        </xdr:cNvPr>
        <xdr:cNvSpPr txBox="1"/>
      </xdr:nvSpPr>
      <xdr:spPr>
        <a:xfrm>
          <a:off x="5528762" y="4564174"/>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twoCellAnchor>
    <xdr:from>
      <xdr:col>6</xdr:col>
      <xdr:colOff>37227</xdr:colOff>
      <xdr:row>28</xdr:row>
      <xdr:rowOff>160660</xdr:rowOff>
    </xdr:from>
    <xdr:to>
      <xdr:col>6</xdr:col>
      <xdr:colOff>151527</xdr:colOff>
      <xdr:row>29</xdr:row>
      <xdr:rowOff>113035</xdr:rowOff>
    </xdr:to>
    <xdr:sp macro="" textlink="">
      <xdr:nvSpPr>
        <xdr:cNvPr id="30" name="テキスト ボックス 29">
          <a:extLst>
            <a:ext uri="{FF2B5EF4-FFF2-40B4-BE49-F238E27FC236}">
              <a16:creationId xmlns:a16="http://schemas.microsoft.com/office/drawing/2014/main" id="{CE0A20DB-C700-4033-AC18-7F446661CA4D}"/>
            </a:ext>
          </a:extLst>
        </xdr:cNvPr>
        <xdr:cNvSpPr txBox="1"/>
      </xdr:nvSpPr>
      <xdr:spPr>
        <a:xfrm>
          <a:off x="5037852" y="4932685"/>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1</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29</xdr:row>
      <xdr:rowOff>61029</xdr:rowOff>
    </xdr:from>
    <xdr:to>
      <xdr:col>6</xdr:col>
      <xdr:colOff>151527</xdr:colOff>
      <xdr:row>30</xdr:row>
      <xdr:rowOff>13404</xdr:rowOff>
    </xdr:to>
    <xdr:sp macro="" textlink="">
      <xdr:nvSpPr>
        <xdr:cNvPr id="32" name="テキスト ボックス 31">
          <a:extLst>
            <a:ext uri="{FF2B5EF4-FFF2-40B4-BE49-F238E27FC236}">
              <a16:creationId xmlns:a16="http://schemas.microsoft.com/office/drawing/2014/main" id="{61857CC3-F9A4-4D11-A09E-9672FAE9DF03}"/>
            </a:ext>
          </a:extLst>
        </xdr:cNvPr>
        <xdr:cNvSpPr txBox="1"/>
      </xdr:nvSpPr>
      <xdr:spPr>
        <a:xfrm>
          <a:off x="5037852" y="5004504"/>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2</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29</xdr:row>
      <xdr:rowOff>141202</xdr:rowOff>
    </xdr:from>
    <xdr:to>
      <xdr:col>6</xdr:col>
      <xdr:colOff>151527</xdr:colOff>
      <xdr:row>30</xdr:row>
      <xdr:rowOff>93577</xdr:rowOff>
    </xdr:to>
    <xdr:sp macro="" textlink="">
      <xdr:nvSpPr>
        <xdr:cNvPr id="34" name="テキスト ボックス 33">
          <a:extLst>
            <a:ext uri="{FF2B5EF4-FFF2-40B4-BE49-F238E27FC236}">
              <a16:creationId xmlns:a16="http://schemas.microsoft.com/office/drawing/2014/main" id="{05EF7A5A-F8F5-4FE9-B202-CC3F598B70EF}"/>
            </a:ext>
          </a:extLst>
        </xdr:cNvPr>
        <xdr:cNvSpPr txBox="1"/>
      </xdr:nvSpPr>
      <xdr:spPr>
        <a:xfrm>
          <a:off x="5037852" y="5084677"/>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3</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31</xdr:row>
      <xdr:rowOff>145241</xdr:rowOff>
    </xdr:from>
    <xdr:to>
      <xdr:col>6</xdr:col>
      <xdr:colOff>151527</xdr:colOff>
      <xdr:row>32</xdr:row>
      <xdr:rowOff>97616</xdr:rowOff>
    </xdr:to>
    <xdr:sp macro="" textlink="">
      <xdr:nvSpPr>
        <xdr:cNvPr id="35" name="テキスト ボックス 34">
          <a:extLst>
            <a:ext uri="{FF2B5EF4-FFF2-40B4-BE49-F238E27FC236}">
              <a16:creationId xmlns:a16="http://schemas.microsoft.com/office/drawing/2014/main" id="{3D701A65-5771-4F20-8AD2-7A182C9B6A74}"/>
            </a:ext>
          </a:extLst>
        </xdr:cNvPr>
        <xdr:cNvSpPr txBox="1"/>
      </xdr:nvSpPr>
      <xdr:spPr>
        <a:xfrm>
          <a:off x="5037852" y="5431616"/>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4</a:t>
          </a:r>
          <a:endParaRPr kumimoji="1" lang="ja-JP" altLang="en-US" sz="800" b="0" i="0">
            <a:latin typeface="ＭＳ Ｐゴシック" panose="020B0600070205080204" pitchFamily="50" charset="-128"/>
          </a:endParaRPr>
        </a:p>
      </xdr:txBody>
    </xdr:sp>
    <xdr:clientData/>
  </xdr:twoCellAnchor>
  <xdr:twoCellAnchor>
    <xdr:from>
      <xdr:col>6</xdr:col>
      <xdr:colOff>37227</xdr:colOff>
      <xdr:row>33</xdr:row>
      <xdr:rowOff>58414</xdr:rowOff>
    </xdr:from>
    <xdr:to>
      <xdr:col>6</xdr:col>
      <xdr:colOff>151527</xdr:colOff>
      <xdr:row>34</xdr:row>
      <xdr:rowOff>10789</xdr:rowOff>
    </xdr:to>
    <xdr:sp macro="" textlink="">
      <xdr:nvSpPr>
        <xdr:cNvPr id="37" name="テキスト ボックス 36">
          <a:extLst>
            <a:ext uri="{FF2B5EF4-FFF2-40B4-BE49-F238E27FC236}">
              <a16:creationId xmlns:a16="http://schemas.microsoft.com/office/drawing/2014/main" id="{930DA788-234E-4708-B8E2-4539305899B6}"/>
            </a:ext>
          </a:extLst>
        </xdr:cNvPr>
        <xdr:cNvSpPr txBox="1"/>
      </xdr:nvSpPr>
      <xdr:spPr>
        <a:xfrm>
          <a:off x="5037852" y="5687689"/>
          <a:ext cx="114300" cy="1238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lIns="0" tIns="0" rIns="0" bIns="0" rtlCol="0" anchor="ctr">
          <a:noAutofit/>
        </a:bodyPr>
        <a:lstStyle/>
        <a:p>
          <a:pPr algn="just"/>
          <a:r>
            <a:rPr kumimoji="1" lang="en-US" altLang="ja-JP" sz="800" b="0" i="0">
              <a:latin typeface="ＭＳ Ｐゴシック" panose="020B0600070205080204" pitchFamily="50" charset="-128"/>
            </a:rPr>
            <a:t>5</a:t>
          </a:r>
          <a:endParaRPr kumimoji="1" lang="ja-JP" altLang="en-US" sz="800" b="0" i="0">
            <a:latin typeface="ＭＳ Ｐゴシック" panose="020B0600070205080204" pitchFamily="50" charset="-128"/>
          </a:endParaRPr>
        </a:p>
      </xdr:txBody>
    </xdr:sp>
    <xdr:clientData/>
  </xdr:twoCellAnchor>
  <xdr:twoCellAnchor>
    <xdr:from>
      <xdr:col>6</xdr:col>
      <xdr:colOff>528137</xdr:colOff>
      <xdr:row>33</xdr:row>
      <xdr:rowOff>100123</xdr:rowOff>
    </xdr:from>
    <xdr:to>
      <xdr:col>6</xdr:col>
      <xdr:colOff>943635</xdr:colOff>
      <xdr:row>35</xdr:row>
      <xdr:rowOff>42750</xdr:rowOff>
    </xdr:to>
    <xdr:sp macro="" textlink="">
      <xdr:nvSpPr>
        <xdr:cNvPr id="38" name="テキスト ボックス 37">
          <a:extLst>
            <a:ext uri="{FF2B5EF4-FFF2-40B4-BE49-F238E27FC236}">
              <a16:creationId xmlns:a16="http://schemas.microsoft.com/office/drawing/2014/main" id="{678D24AB-CA8C-4F1D-9CCD-3A3B944A038B}"/>
            </a:ext>
          </a:extLst>
        </xdr:cNvPr>
        <xdr:cNvSpPr txBox="1"/>
      </xdr:nvSpPr>
      <xdr:spPr>
        <a:xfrm>
          <a:off x="5528762" y="5729398"/>
          <a:ext cx="415498" cy="285527"/>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ap="flat" cmpd="sng" algn="ctr">
              <a:solidFill>
                <a:schemeClr val="lt1">
                  <a:shade val="50000"/>
                </a:schemeClr>
              </a:solidFill>
              <a:prstDash val="solid"/>
              <a:round/>
              <a:headEnd type="none" w="med" len="med"/>
              <a:tailEnd type="none" w="med" len="med"/>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wrap="none" rtlCol="0" anchor="ctr">
          <a:spAutoFit/>
        </a:bodyPr>
        <a:lstStyle/>
        <a:p>
          <a:pPr algn="ctr"/>
          <a:r>
            <a:rPr kumimoji="1" lang="ja-JP" altLang="en-US" sz="900" b="0" i="0" u="none" strike="noStrike" baseline="0">
              <a:solidFill>
                <a:srgbClr val="000000"/>
              </a:solidFill>
              <a:latin typeface="ＭＳ Ｐゴシック" panose="020B0600070205080204" pitchFamily="50" charset="-128"/>
            </a:rPr>
            <a:t>屋内</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B4F50BF2-6A64-4383-807D-32B90086439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D1EA3B16-D959-4DE1-89C2-C1CF4143953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2242391F-CBE3-44B5-9C03-CB64B4FFA84A}"/>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60B21F68-31A6-4EB4-9F5A-A75B9241129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35CFAF47-0999-48F9-A3C5-0672765F10F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DCB27AC5-DCE7-4F3E-9B5B-ADDE2E5AE2E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10793467-9F5C-4E9A-B9CE-52CFA7312DD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9304AA7B-AD99-43C4-92B9-55D7636B8A8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E2331F45-F3EF-4781-808A-8B32F7FB81A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6B2F4723-7EDE-484E-93B8-65DB0C96F82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D2B2304E-7141-435A-BAF5-17FC38A4F13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CD6E112C-1A4D-4656-AA84-423DB56EE9C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92EC4253-7BA4-4E48-BF80-198C2A331B9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9ABCA48A-F339-4CF5-9E3F-9E02D3744E3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397F8315-4A6C-4874-B526-57320ED7235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7AD571F3-60DF-41FC-9918-772A709FF47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4C86C36C-0B8C-4A78-8641-82A28D7902C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BA825AF3-5810-4528-8D8C-A30F071874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E00E5B65-1CD8-482A-B500-B481C3A6FC8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7DB767C2-AC80-4452-AECD-273D5F49335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CCEB912D-684B-4BA1-841B-2ACE4FBE7AB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32EE52DD-6807-474F-92AF-14A9E2AB728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B2B77B00-94B4-457E-A1B6-225A04CB5C7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3F0AC36A-D3A5-4509-9C38-B50A30AD17E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41A1BFA1-3C8B-40EA-9461-4978D0600EE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0A3039CF-737D-45C9-BAAA-5CBC6BA28C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753F3017-CA0A-4689-9CA4-14DB92221EA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AF3C30CA-05B4-47C7-835A-34D46DFD131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7B07ADDE-D17D-477D-ABA5-D7C152F5C71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C4B36293-034C-4BA1-9C1F-852CD7A854F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88CE4D04-8EA7-48CE-82B0-45FD4EF91FE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1B542C55-85D5-4511-A83D-4941087751F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147E0671-A2DB-4BA1-A860-0E5DE5A49E9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4DD61390-7F4D-4A9E-83AF-85C86B1EB8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1AEFF0B6-245F-49CF-9767-A23E78436C5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3BDC0EE7-9137-4DA7-9A38-22743B4A8D5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3DB6D683-A6C6-435E-8EAB-7CECECB06BF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C882629F-44AF-4E4E-95AA-7CCA2155458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3DA533E2-555A-4DBD-9A18-E6B9C48358F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5D0FFD0B-E08B-42EE-A94E-3E6BF208B37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38DEF0A3-B1A8-41A2-A458-BFE844B3808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F5960810-FDBE-462F-9E99-BF86ACA7A74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323B4670-E46E-43BF-BF42-AFDEAD04C0F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852F0EE2-B01B-447F-9A34-92B9308548A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22BCE82F-F7F1-46B9-839A-EABC8D801EE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48259BA0-DD71-4144-A5A3-C9DC6116D42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797FEC88-D5A5-4236-8998-A1A6D17BCFF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95B16E61-2DE9-4AEB-8C3D-CBE6C0F0758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9398D682-162D-4F6A-9482-99E1E33C52B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007C41D7-3F29-4BEE-A5EE-156A891F2C0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23B546CF-1853-4C0C-9056-672711196B2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134852E0-1633-4F7D-9E4D-AE687CB9154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D7E3C1C8-B8CC-4C23-9365-003493E68A6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734A0DA4-00DE-474A-BDAD-F73A709BDE4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8CAC3232-3DE7-4346-B339-6724A7E77B9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409E8B38-981D-42B8-BECC-9FBEBD70021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86F7554D-5437-451D-B154-2FFADDE8A95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E6D4B1E0-8914-4E55-958A-5F14AE9FE57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BA168A30-CB66-418C-898F-E487215C764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2EA9AA7B-3943-4D62-B925-F01A06E46FD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37CD7FB1-FBF4-475E-A56E-FF4F7D015D4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B78D7BB7-0F51-4872-A550-D008133410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8238FB11-D218-466E-822A-21274D2C147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DF4DA4C9-80BF-4EB9-ACB7-80BBCBE1B29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7DF01D1A-0CB9-4E68-870B-7832A3F3809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480425C6-6CA4-4B4C-9FA9-C23FB8E546F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101FB760-8377-4453-B520-E0C2DC14D8D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A7787713-F2DC-478D-841E-5FED99747A9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DEF687D8-6978-4BF8-900D-DACE209C975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BED5492A-5EA7-4902-9F5E-2294CCD4570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CA5FF71B-F448-4356-B612-CB2B13EFE41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FCC492BC-FC3A-43D8-8DD0-48B6BD7BF94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D9C205B7-9B34-47D5-86C6-D4AF316B885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E2A388B1-9117-4CB2-9F53-E9643E488F7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F9EFA676-20A8-490A-A621-14D80B67FE3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9C253BC8-2842-4E6A-8C7E-A6E78FB8CF7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1C031606-8641-4CDB-9F37-BD18E310D42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97A4FAF0-BF0C-42AD-85A4-D5C01D5E449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FCBE20A1-52BF-4665-AAC6-0C6390169F6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6B1577AC-6A66-484E-B579-3451B0C3426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02E50BF7-4496-48E8-9CA5-3CDA7BFC37D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AE562742-7FEC-4F8A-8DF6-6FCD9CB56F7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1C1C24B9-5367-4B13-AB3C-EF8A31D4F28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6B67A14C-E587-4E3A-B8D6-30B35341EC4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9DE5B47A-7332-4611-BD69-C2991FA3F62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CC9E4328-56CA-45D8-9923-C3675831732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E20CE2EE-56F8-4AC9-BE60-65AE7A8F6EF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81E86D14-71F4-46E4-ACB0-6EE568DC5B5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346AFD4C-786E-4F98-BE92-74A23A25D9D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757907B9-08C7-45D0-AF0A-BDA7BB42BF7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818BFBD0-5CB9-4EC1-92CA-F0295496ADC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6E94F2F1-22E1-45AD-BBC6-4BC20ED68CA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1138818A-B103-44E7-95DC-AC1BB10D31B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666BD0FA-8AD1-4FEB-ACDA-367B6D4F80D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2A9563AB-681D-40E0-BA88-A549E667DEC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47FE352A-7586-4813-A811-4E3C189DDAA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A82324C2-3C5B-47CB-8340-DFD7E8B8448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17C0E5CE-220E-4823-9E70-9D9196F752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9D738B21-171A-497E-BABA-2ACBABD4A29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FCBCB18A-2DD3-4333-B9F0-63F5C1EE86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AE77B139-D111-4D2C-8FF4-86D2D1963E8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BAD57171-03F0-4553-8071-95D9B38094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C1645AF8-A737-4A09-B6A6-23D2445A27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A77576F8-A358-4C76-8098-7F40E88471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CFD76B97-66B7-4032-B3F0-579E994114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6FBA1DF0-D22F-4891-82AF-2875B16C9AF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C4D9DB90-F949-487F-98DC-C4717EF751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C77B42C3-DC87-42C1-B6C4-91746389E06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444B03C8-BD73-47BD-B6CF-1897684FE22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D601EF3C-DFC2-4628-8095-0E7D67DEF0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29BFE94E-E2F1-405E-8FD8-F64400BEAA1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BD70C7A7-967E-4953-BF83-576AC79B1B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4E483297-14AD-48F6-9D69-1682B47F9E1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D46462E7-B57C-4CC7-84DE-A02450D7A34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B68E4EE3-F6C3-43CF-B4DF-4A80F7B54B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D852F36A-623D-4059-9285-D9C7A252F4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25EC3405-C6D5-419E-8281-A00927BE95D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DF9CF5BF-66D0-4BE3-B6C4-278A69E91D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F77E4308-DB65-4DCB-82DA-0FA4B403AB1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9C37C600-6848-42A6-94A4-90B691DDA6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CEA3BE22-58F4-48A8-99FC-BD5270ABDD9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ADD9FC1D-24A8-41FC-B228-6744C046F1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D7DD3C65-7AF1-4D24-A23D-FFBCB04F7C0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F2946901-B8FE-4298-9BD0-2AB018AA45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46879694-63E0-4D23-A663-3B11F10429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6E1A348E-DEEE-45EE-9900-3705699017A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78868E22-CB37-4664-8B2B-55C6D2895B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BC858B63-D678-47EE-8EE8-86224C18150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7C157ED5-A408-4189-970A-F634BA92FB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A5CDCB42-163C-47BB-AF92-39A2DD08CD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8418DABC-5A60-4CA1-A9CA-4C47178B95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5DD0D455-1FE7-4B10-BE57-9BAABDBE98B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7EB01578-898D-44D0-B9FE-F669D87C44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C4212756-5AD5-46A3-B7DB-D70F7BCED2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1BC12956-39BB-43F3-9C83-042F69B2D69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C23D7B4B-79C7-4CF0-A2D0-DCF7181C8FF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DE7DA38C-9B44-40DE-A795-BEDD03CA166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A72A6902-E2C0-4C7A-B0BD-E277DA6E596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5C639C98-4A88-4CE3-AF3B-6B0B1F5543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80631B39-4588-4E7B-9299-3A8DB5D417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4CD22AF2-B00C-41DC-9670-1BDDE3A910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73346AA4-FA81-46B8-BBDD-DF9215530E8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3715C4A5-84F4-454F-92EE-93D450F5090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42304D24-84E9-4E37-9CDE-9BC526A150B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1BCAE20D-7CD7-4F33-9380-778A5DB3E1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ABFFA4B1-69E6-4AC0-9587-015E305F5F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5B9C5726-5198-4002-B52B-DE27EEC5F67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CCF8D724-91D7-457C-9C35-BC34763BD59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DA10D973-6023-4807-92D4-A0A94E58FD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6E708BA2-C215-4E09-8ABB-E9CA0B1C82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1396733E-6EB0-40DA-92D4-24593869851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88C88707-078A-47FB-B869-708B7ABD9F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1CA3CD93-9F1F-45CB-B57C-873A665F56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19EB5B48-51BA-45A6-9B15-D153998F1A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F608294A-065E-4FF7-B7E1-337ECB5E57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B7493429-B8A5-4BBF-8A94-0C618D2DED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B20B9A87-2EB2-40D9-ABD2-2A6F78C37C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7C2944C9-D35D-44F7-9B82-F92528B1F7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34F86A07-546B-4448-AE36-D1DD3410FC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CD7A5B06-6E0E-4662-9BF7-36F0618B608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EE5B395E-D641-4AA0-9138-2240DB03C63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68D9EEBA-D303-4F3C-85D8-6CE93D2A9D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252FBBB7-310E-4DC0-8F54-28DDFFFEA21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DE5296D2-0AAB-4F81-9414-1B540666BE6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6B200FBE-8B48-409C-821D-4B0696DDF4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D551FB3D-0DA0-472F-934C-A2D6966C36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EEF17684-527A-482A-90E1-BABB3714CE8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9493F3E0-1541-4CA4-87B7-7347FEDCE6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D2FD5C8E-240E-4D59-BC06-BD8D1A042A0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1F15D8B5-369B-4F46-BEA3-F42619D4F42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6072D1BE-C76B-4803-8498-E8C278A20C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72E3ECC0-D803-4546-B4EE-160E95E0A80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E8068763-E4E1-4BC1-B7A7-D9880817B05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D41477D6-E31F-4F45-98E4-B70A4CC3AE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E13E58F2-A2DF-45C1-8B88-7E51C0E18A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A22CBE12-C21C-4C87-A55F-9495B627AF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65A269BD-01B0-4B77-98C1-9EB1FFDC258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81DD01E4-7BAC-449F-90DC-753D7182528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0ED4F4E3-1A8C-49B5-A3D9-D0EB6719493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EC85A9CE-D1DE-4381-95F6-3A21337C8E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06E7FCF4-24D2-4C6F-B65B-CE0FF4500C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9EFCDE57-24A3-4766-96F6-A9E86598CB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0F41BB70-8AA7-4CFF-9FF9-F052EC242D9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5B4C290B-EE8F-4685-85FB-C9B47CF6E3E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0FA9CF52-DF87-4DAB-9EE6-E19A433742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2D810496-7B52-47A8-B91B-D473D4D2685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DA1B9464-2991-4E39-B89F-3D4D6038C5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8A4AB8D4-85B8-4FE2-BBB4-6C3A11996E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01B79584-7E21-4BA5-A610-DB8745EC85D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636D9DE0-C27F-4E04-B797-E7C712983E3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0438CC62-7C27-4B2E-B10D-22546FF8853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5428975D-DA23-48DC-9789-3B8D0570C2D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A2DB0CFC-6043-4FF8-A76C-BB1B09A0B74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C590D00D-DF37-424F-8E1D-99F53CC96D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586CDE6A-0EA4-4094-A5C2-7029E650075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FC2225B3-455C-4C9A-83BC-67395963CA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3E5B2FC3-3335-48E5-947B-B09FCA7E64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24D3FBA9-E80C-4571-A554-4C10532884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4298014A-AB0D-4365-94F5-9DEF96CAFD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FFD9B777-60E7-4DAA-B601-CBB3AA3596E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570F71E3-5AEF-477B-B7DC-1824F103D0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0D92CF5C-23EF-42CE-98EC-BB9A28A0AEA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243464A5-00EF-4F62-BD11-E695347F55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A54B3FD6-39BD-4588-BB76-F0688B6F98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FED4F79C-473A-4DD9-A518-211A714395B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9E55A12D-EB58-403D-8D58-62FE10D445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A584FB41-03DA-4530-8235-2999025188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DC20D8F8-8B11-4B5B-8E8B-538F36DA31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22BF0AAE-F582-4C90-8455-4FC318A410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0D83C8E5-BCDE-410A-B3EE-746C5D4073F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E289FC16-90BF-4580-A3AA-62BBE25418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C686CC56-F088-4493-961E-84651A7AE0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6A9524E4-5992-4D83-AE4C-CF28524C6C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DFC8B80B-C5CE-4761-BBC4-672D4719DB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4D10788C-06AA-4910-BE9E-6BA9DF8501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B1463E3E-7CFC-4ADD-8D22-07CAA366C6E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C4A5D4E4-49AB-4845-84D7-A34356AE12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A9A1E5FA-8DCD-40D8-AA30-ED29C4EEA1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FB55661D-BC66-4E78-8A73-10FD958054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07BD4378-DD71-4699-8459-1EB2C937766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83B1A15E-0205-42C8-9B14-ACF3E020376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35612819-2C93-4F32-95E9-200AAB7B76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F90497C6-2392-4442-9551-2344E88D0C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1086C0CB-029D-4423-831C-4F7E911EAF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EB114CA1-A343-450C-9219-6F368793B6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5859E00E-7875-492D-AE1A-6E36F0D22EA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47813780-58DB-4F15-B4A6-723DBFA6FE3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E3A5A9C5-9B67-4266-B343-AE53E7ABDEB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8A3BDC90-D857-4951-B623-544DF0D8AE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CF590128-E76D-4BDC-8985-251E9310699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78779DB5-9834-41CF-A9FC-8D35032D2A1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7EC2E242-74E8-4BFD-B2C4-68ACAD9E00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E1504F74-D9AB-4ED9-879B-5D92BE0DF58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7D52E93B-1B9C-4A3A-B4FB-F86CDE2B781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3ADD0D2B-2793-41EE-A23C-580378EA824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7106DBD9-E508-4E70-A861-56BAA0D1CA8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0140F190-C883-4BEE-B7FA-8C48CE4B7B8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57BD0EE6-8BA9-491C-A3A0-86554E3725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686EF9AE-60AE-4558-962C-0CF30EEE779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61648AD3-83BE-4985-9869-06C0B01715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79F96D94-6AF1-4434-9E55-6EDEA75254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9DFB6D16-3502-4B95-8837-58CB859BCF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04457BAE-D1CC-4941-B5F4-E8B7E6B4B2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4B935BAB-1EE1-4DA6-82A0-E5C984C510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2369F2EC-5322-442D-B255-0F9E63B1CF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AB6C61BC-FE92-4A29-9190-6D079C069AD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48B33B8C-1EC2-43B2-93CC-B722672DF47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5E260D3E-1C9D-4AAD-992C-FCB427BCA5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5429BDAA-1A36-4475-8733-AB93FB10C7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FF8DEBEC-307C-456E-87BF-D9C81531A84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61121B4F-5E17-47FC-82D9-E925C84226C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C80DE99E-3CCD-4A4B-9AE7-4F2160853B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997A9C14-2266-4F5F-B475-C7FCA9DEB2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E165D985-4B93-4735-A8F0-0CC840FE90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FF20C7BA-A67A-4ACA-B2E2-974B113118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4AD9186C-7FA0-42B4-95AF-276BA16D40B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49443079-D0FE-4C22-8A1C-52011D1C1E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EA55C0F2-6C6F-433F-95B6-A0AE7F018A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DFF4CF71-9505-4A99-A14F-D50B130767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5CA5799A-7F7E-4379-BEED-4B507CA1C1C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3F0FD50C-3159-4181-A595-82F04D2850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B3A22835-52CF-4519-8E2C-4E22355C25E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D35C18FE-A699-4FEA-8665-4AB22B6A193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98CE9347-867F-4449-897B-697290FF8C6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6B0CE827-F1CA-4547-ACAC-EAB3C74C13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F5D61E2A-6428-4CBE-BAEB-8814C71CBDB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98D30A59-3414-45AD-8B9D-877B154A2DB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163F1CCA-C842-4395-9429-1C54DDBF99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C93CE664-77A3-41DB-BC3D-F93AA438B8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E4D14627-7D2E-486E-9840-C20CCFC662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C1083BFB-A6D2-4C7E-8E34-6A553579E4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4426C25A-DC8E-48E4-A00E-15CBCB1692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5D41E2D3-5706-4D8B-8217-BD12EDEA9BF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26F87641-4C1C-4555-A307-350C3AE7FF5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8C0C9A9F-B451-4AAA-88BE-941D847A9E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12E618D3-6BE1-441A-AC1F-A4601B335E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D9A6DBAF-43E2-498F-BEA2-E55ED21DF4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5CFC55FE-02A9-4665-8A0A-BE19FBFB2D2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0DF2061F-4D31-4CA3-AE52-0F23025F7E8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4459C436-8B02-4B02-BD2E-CD0D6EC33C5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9E09A8BF-6B69-4C2D-9BC5-9327C5F062C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E85A6F41-F440-4AA8-AD44-A4776EA5E62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AFDE3C58-7C10-4D45-A757-F6EAEB5D46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A8499272-46D0-44E4-B099-F7E08B5D84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9975DBAE-E090-4257-B9BF-48852B43524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83BE8C6D-4F2C-48D8-9FFB-6FB565DF9F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14F049FD-D28F-4D46-B2E1-467EE8BBA50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E88EDA4A-41DB-452A-A183-CE0C3098DB7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6B836BD9-5683-4D0C-B61D-57A9C9B343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0D20164C-A192-4CB5-B1A2-CCA74E8F880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B9164EFE-DAB2-4CA8-8997-565F98C0EBA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3FEC298D-4601-4B9C-9591-9D04C33AC842}"/>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DC1B6881-2010-413C-8C63-809AA7DBDC5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592CCB76-20C1-4746-963D-31519EE5FD6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BD8027E1-E7A0-49BB-A0A0-A77777115A1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3425ACA1-B885-4723-819A-268626AE343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6DC6A3D9-B310-44BC-8E58-893C1A85BAF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8CB839A5-F8DF-4954-9B40-DD0D7BC150E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CF3135FA-6090-4F66-ADA5-A5D6227864F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4AD20E9B-E7B0-449F-8AE0-003B77BF3BD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9C6BCC3E-A1B6-40BB-AD49-5CA16B22AAC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0DBEB36E-7418-4013-BE28-38AEA87F4E2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8CEF0857-A8A5-4C2D-A821-AB2C037AB46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C5140E1C-8864-4865-9D6A-6B73DBAA627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AF44D9B1-8E47-454C-A7ED-E9536192254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47FDDF1C-46FE-457D-BCBE-2844C3028CB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B643BA89-6FBA-4284-9828-5A40917DB2F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311F7EF2-A089-4BB0-86CB-C4629193B6A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BAD66524-B466-4001-8255-BF4ABD269E7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BAD05D66-F5EF-4B53-8A1D-706A44B016E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A2204602-A512-44F9-9547-4E2355878B2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C61D6705-0D4C-4840-B91C-2A67428BEE9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DB5FDF7C-0B82-4377-9B1E-E649DF7DD92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A70DDAB1-254B-4F6F-AF0A-9C72DD38F21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9CA73E7D-D860-4749-ADC2-2D91D245143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EE1B9D0A-E0C3-44A7-94BC-1B9A78BEFA8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2F9132C9-7903-4A4C-A64F-D2981FC5831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2A8F7D61-A4FF-417C-A6F3-007086CB7DE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0A54206A-E5F5-4F3A-8046-9382DD242DE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042485F7-B766-43F8-BDE5-74D04108363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86C282EF-1EB6-4A0C-9DFD-7855822AAB1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00BCB990-3F09-4241-B5B9-AB9849F10A9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5041A1BC-BEE5-457C-83C5-9A9D8939F76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2C9BDACC-2F56-4602-8FE3-DCC93F94ADB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1E23DA57-B122-4E12-A3B9-79E40BD407C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837D23F8-9F1B-42B9-8F00-344808F99A4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3D3A6996-66D4-4D58-B333-327EAC65FB0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C3ED69BC-A60F-4FE8-B761-E92842219C5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5C6B762D-20D4-4AF7-8229-0B16EAB5EA5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75BDC9EE-6133-4C3C-A966-453960D403B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35495CC0-8C35-40CD-B7BF-4EC678486B5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D5D4233A-3D43-4B8B-B03C-A2B6EE18CE8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3331D39F-7CEF-4303-A374-0A05E48EE21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EC33398E-0DF2-4314-90CA-392B5E136A2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66C96F26-BC23-47AF-B52F-590B9D49603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45F7CF53-C904-411E-8722-B16262D9BC7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EC7B3472-1E7C-441C-818B-8511E5C09FA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5C89E9AD-7317-4AF6-96F2-9AA04062766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4E4AC0AB-28D0-4889-8FF2-B46297FC77A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3DAE0C22-9703-4071-8447-F0CCABCB7CB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CF851500-4277-4CBE-9FA1-5EA67C048A3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C148595B-8CFA-4221-A2C0-8E34DE15A2A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A42C05F8-2C9E-4187-B7EA-BE15B708ACC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BD0AD59A-CFBA-43DB-A875-E2E7F11EB95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ADA91CE6-B96F-4D50-A773-0763BE14753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8E09B314-7778-4698-80B4-88EEA7F815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82D5D1E9-054B-4030-924C-3C4BD1F37AE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B157B144-0D3C-48E9-9D26-3A30C089608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E875443D-800D-42FC-8998-4E6F0928F30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4E5AD264-BCF5-4D43-BDE3-CFDBAEF51DE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56D0D70C-0D65-4DBE-8D72-09A112BC4C3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DEE137DD-56AC-4B1A-B200-8E39889690B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234675CE-DABD-44BB-B77B-6D58364E3AB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FBB1E60A-67D6-4742-826C-EB2D770FB02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C9B6149E-D153-4A92-BFD2-7475F64D979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6F802072-50EC-4243-8DCB-A23D83A7B6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2156A7E9-A6D9-4CAF-96D5-8DAEB0AA316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9009080F-4F7B-42C6-86C9-71AA2266365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EA277327-6BE0-4DF0-BF58-562F63E1E7F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A05F8ADB-DAE0-442C-9A08-B8954CA1329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C8DD639B-E01B-4F72-9C4B-B82311713A5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124549D9-0772-44D5-A16A-95D3A715E9D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F67ADFEA-92EC-4DB9-B88A-E120CB34884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F8D12A97-37C8-484A-AD29-1A4F22DBE82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D47B1829-D85B-4BCF-91BA-588E15BBB79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A8EB1C6B-6260-4C61-9C56-7F3454AED1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940041D1-D558-469D-9801-1C79EB39B5B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F21FDD29-FDFE-406C-9055-C548849EE37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1B841472-9E5C-4CDD-B6CE-711A0694042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33740DAF-2DED-4CA5-84F2-080C3015DFC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673A3975-8B3C-46D0-BB21-0C5B327EE58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310047BF-29D0-47F4-A385-8C3CD95E5B5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4C6AD27B-DFCD-4F02-BADE-99BC6BC2B9C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6EBEBDB5-0B1E-41C4-9288-240D31338B4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6186F0EC-C673-431B-9DB6-CE0AA812C6B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352AE77A-7FCC-4293-89EC-F322DB13EC5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8F35C446-7BD0-4D1A-9FC1-F1A0FC314C3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128F7F8D-6A70-441E-88CE-550E9900914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90AFDB61-0139-4D61-96C9-72360E1AA38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AEF59F63-1376-40BD-9FA1-E10504C703F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505C4468-FF5E-4B2E-9453-24FF6106BDA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B7357C11-90C7-4C2B-901B-3D5614ACD2F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73EE53EE-4462-4ED2-BEAA-C8822D2CE20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66CEF57F-A567-410C-98F0-BA7101FDBF5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825A0DFE-0732-46EB-85B1-B40739EB237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1A5D1C4E-33D6-4F65-AAAC-E614CC37B58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19280708-0025-4FEF-B070-8803533BE6D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97A07D9A-559C-4916-AC08-6D2274DA00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2AE6E038-D27C-4681-8DE8-F308B733259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7F902CAF-1D4E-49EC-A51C-A68B28779B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8FB468F5-76A5-458F-B94F-C774B5D095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1F2602B7-08DB-4027-BD6A-03778CA796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C2192EA4-FE3F-4F64-9E02-616A0EF14EE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C6D6B375-4C41-431E-B139-FCE76E52DD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F9D2A735-B8F4-46B7-8E23-A767DDF04D3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2D8C9F52-46CE-4C14-ADF3-6D0855FED5D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0ECFED5B-AEAF-4234-8A40-6962016EB32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37CECD7A-64C6-4113-B0E9-0F6FEBAD3F2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7FDAE25A-1879-4AED-92BC-8B7519365D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B9BA1A16-C49C-46FD-A9AC-AFAC837768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905D8B99-4B87-439B-8B84-55576A4207D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C323190D-7883-431A-AE93-65AFAC70833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4DBD005D-5976-4A84-82C4-81FA6297516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1ECAA9C1-D1A9-439B-9C3C-00CB8FDE387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EAEE37F7-C517-4DBF-9883-AF4CB2DC85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08FE3849-37D0-4743-83D8-AB5300B528F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9E74A1FF-8DF1-46A9-BB79-87F244AFEF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7998145F-F8A7-489F-B7F3-D08CBC0056F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ACBC2016-4025-443C-9435-1DA1B9BCD2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4DD571B9-6CD1-4CFB-9858-25D273A7F12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61F71BF7-1353-48B0-AD11-766CCCD17C7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A5D0C169-AEA0-4E0F-A187-1338BD8159A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95516911-ECFF-4BF5-BD94-C727E18A575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2DBC9137-6345-4386-B00E-1EAA374F3B2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A16F3063-7E25-44F7-A64F-54F102F6CC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6A39EF4B-1F35-417E-9D05-98360EE8621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F6BB5AD3-F8D8-4DB8-8243-892FC7819C0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93C56024-8D2B-4939-8E61-00A7B801DD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F2783C6D-09CE-4858-BC92-DBDD0CB6478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1C7BAB3C-6E9C-46DB-AAF4-02D6771E4C3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F6552B98-BD89-48FA-BECB-9D9C939F6A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E937E401-DFD8-4612-AED0-D7B64840A8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D09425E6-6BA8-4645-AD57-BB9721976AC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24345548-7663-4CC2-AC83-0FF41484A0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9A45ECC3-9B3D-4C4C-810C-499E54FB8A4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ADB3601E-AE5F-4DC4-9A69-65C72BE1007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5FBB6CDC-F757-4D04-AFD6-FF1A5C35F26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C3B2AF27-5328-4FF2-9207-F6E743AA74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47BFAE1D-E2C8-499A-9639-BEE87A66DA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8833345D-55E4-4568-AE49-8447AA62227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15A9226C-69C8-44F5-A86A-11F853478D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C447D33F-0677-4B09-B5D4-E666AEC5F8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213BA040-AC13-49E8-9E4E-9D0C2557DA6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431C924A-77C9-4008-AD9B-46C9ABE1111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681F41BB-6E18-4871-BDCA-A2A27B0935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2CDBB3BF-D14A-48D0-960B-40A74D61159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50FF3DD1-C240-43B1-9BD0-E12EA41EE35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E4526272-7606-42DA-A708-1C9085BE541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69B9596B-BE5C-42EF-B43A-F2762E2F765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E03F0F22-5E7C-421D-80B2-5DA921233B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5F2ACA97-9EDE-44A8-A5ED-FF9B7D7297D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2741490D-D3F4-4D1F-BCB2-0CD96D9DE7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6E788818-8F52-4FB4-BD21-92D91EC4E17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DFF45734-FD5C-4F58-8FE8-A32324D31E9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7615B53D-E391-47A4-BDF5-B3B419E3FE6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E947C602-2671-40C5-B256-14B627765C2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F6F79F4E-3666-4D17-B00E-F8741D36B7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2D4D87A0-D24A-47EC-A592-709B0B080C3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F3DBD2B0-47E2-40AC-B151-1D6144E3DB6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9BA0E723-AEFD-49C5-B20A-9ABD5CC293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A549C186-1D98-4929-BED3-F540BADF8D0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9E170CC5-F9F4-4AD5-BCF8-1DFBEF49F93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AF5E8034-B82C-4D13-A09C-36A29F5A96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02CDF6B3-CABE-4F2B-9B9D-CA513AC30A6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84CCEDB0-322D-4A37-82C8-8B4A35BCA2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2C649DB4-4521-4024-BEC1-6827C327EC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109A4440-7CC4-492B-B394-6BE810B5B3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DF3EEF56-F871-4121-8977-6CF06978339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B92F5ECE-D412-4F7F-B3CF-A90CE1D89F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B0980E58-AC04-4060-9C3E-1266D24A767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F1033F99-5B29-422D-AC8B-ACA1518A5F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9FEFA431-522B-4937-B066-043B8C8BA1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58CE140F-B4D6-40BD-AE84-797890A4F1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8060D9D6-1869-4416-BC0B-BCD29AA26E2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C2DA582A-A945-46B0-ADC9-8D44FCD7462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3C4488E4-4B12-4A96-975C-25C9A86EA4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E774D6AE-5E60-42CF-B820-2170D2A023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289308FC-3331-4D07-8285-2FD6221DADE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2DA9213D-2FA9-4571-AE38-C032BEFE6C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E9AF499E-F09E-4C6C-8406-7DAE65E61D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A36DDEE1-2A7D-44EE-B27A-29B98D6672D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C221A6F1-EB3A-4E59-9D57-D55A8BE8FC8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969D2E1D-1E03-4ED6-9971-4877F1C6F6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19D8E3A2-A521-4BAB-9E33-D914B1D0E0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7F22C728-5D8C-4097-8FAD-5263E7033F0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19FDFBE7-7218-46CB-9AA8-B2E2C4F500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F4E5A28E-788B-4618-B48E-BAB33846BE3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AD15F763-FC8C-4271-921C-532129ECA84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79B638ED-4354-4147-BB84-285320A90F5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C00FF705-9769-4921-90DA-62EAB4C084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4C9600A3-A2C1-490D-AF6A-8F23DFD6D5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80CC611B-D959-48B7-B366-484281EAD7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CAC1F54D-385E-445E-A846-CEE169AE774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ABD3880B-434A-4361-A7C8-610C984D54C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A3C4CF0E-1879-405E-B4EF-F5839E731CB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ADE85960-EE0A-4CAD-83FA-73BFAB44F78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D1C904EF-C300-4907-B811-41882D49F2E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9269D2BE-8324-438F-BB4A-1E95FDEA2C9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E4871565-2A59-489F-88C8-97EF665AE2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307735C1-7F13-4AB0-8E88-54EC5B099F5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F6619421-E1BD-4386-A749-43E321573C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E37D902F-DB48-4AF1-85EA-1884AF2CE29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8F5E1115-C217-4C31-8E19-5F2A778199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C397A245-D4D8-431F-A89F-063CBC1A409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6CAB5031-3338-4D29-93DE-6381BB0F03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ADC7CE39-E4FF-4B4F-89C0-EBE9D5415C3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9999A4FB-8FD3-440E-A6F7-1CFCBBEBBE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3F14E2BB-0DB1-4C27-A89E-478C16F8E29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0744D1FC-D480-45C7-9053-96A90ED1ED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B5A16492-D7F5-4C1C-B86C-7ED020AAA8C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47470943-5F96-47D7-AAF0-832CE32EDC5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61ED35E3-D649-47A6-B5D2-269F1677F7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D7B449FD-86C5-4E85-9E22-5FF461C4523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5F1033B0-EA79-48AC-AC78-F38000D53A4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212DA221-90AF-49FB-BB13-CF2C3A29D8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437EAFF9-AA9E-4B8A-AFFA-21915C3D14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2317DA2F-2227-4388-9903-BB0665E423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BE8D4327-1972-45FA-9F9B-898CC870414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245208DD-F775-4175-8A4B-4090740F2C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97FA857A-965C-48FB-8EDC-DBCC9A2F332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FD56793E-B1B4-42E2-B137-46E65EFB658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FF852F41-ACDC-4D03-BE9E-4F54446694B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E1F56CA7-899A-49B0-9DE9-3D27F31BAD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9DA42822-6937-4EAF-885C-0A9A4F1B18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61083468-503D-4A25-A9C1-E6778F18D1C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0D73726B-9435-4E85-9809-12AA95DD399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9BEC96D2-6A7E-4DC3-8503-0B7CCD6F6AF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0BB4C5D1-67FA-4BF2-BE11-054EBE5234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93C6B125-15F3-416A-BA7F-87F834321A7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927AA944-AED1-4488-A0C9-087A3FCB9B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C6D35C26-7080-4E65-872D-B6700E83E80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103977E4-A9AF-4EA2-8F24-86A29A499D4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9944DE5C-105E-4425-9C97-125C9934FC2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6E42585D-A572-45EB-8FDA-FE4AF6A9BD2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6BC538D6-803E-4EB4-8B6D-D60664D167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98580702-62D4-4F32-9900-8AF19D84F3B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DCCB9F14-C094-4AD4-A56D-1EE5AFADC4F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0BCE44B0-E59F-452F-B48D-A0D53892648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8BA22333-317E-4406-ABD2-7AC7ECF095B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F4AC7F58-AC41-4FC7-98FA-F34EA7E0D19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303B1BAF-0A41-47FB-98F8-2B801EAE6C7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AB50C541-48D9-4D53-A65D-AEC8798880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4C6C3602-73F0-41A8-8C52-57FE9B35648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89C1F2D8-B1B1-41E8-A035-F893D88F085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4AD0B4C0-8CC4-4E40-BD5E-C56D66D3C9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40B156B5-06FF-44DA-AB9D-AD7C0460560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803721E0-994F-4CFD-A84D-19FE51B12B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B73FA87D-6B3A-43D2-B3B9-6D51956DBE6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2BD2C1FA-1957-4986-ABC6-11E160677E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E9959958-C78A-4549-AD6D-0E3732EDA1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AE9F0EAF-4B1F-4415-926D-49D5FEF8A7B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4B92238D-7678-4E39-834E-4320600F97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39485470-70CC-4546-A310-A50AF833D9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A6826020-2665-45C0-97A9-0B7B83AD4B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D87BF9D8-6D1E-435E-9C0B-1AC014F0401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26371CFF-0827-4BC1-97AD-313BA4FC46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8CFFB98D-FBB6-41B0-95C8-8D09BA3451E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CF6336F5-F4B6-47F3-9482-AB6495A519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7E9EADD4-EA3F-401D-B1AF-20F67C66B0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20114AED-CA56-4DB7-85BE-03CFCBCB516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252D6784-A84D-456E-82D7-8EFF0D8EC6B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6A98E03D-EAB3-439D-A01B-84B8B7F910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BB7FD262-3FDD-4EBD-9739-DB8515175A6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535BEDE8-587E-4CC1-8828-69B0B3C130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DB6E6A71-699F-4353-BF83-5A46E317D9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F180330E-E3FE-43E0-82E6-B0549F256A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FB71EB6F-CE4C-4654-91AD-57878D186A1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13F5A3E5-C8A3-40E5-A5C1-532D1DDF156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A104AFED-CDE8-4AF5-A165-E237B3B69F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31784710-4CC6-452F-9B61-22AE745954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70C7A9DD-31F6-414D-A64B-A9B0E86E010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1A110659-D89E-48AF-846D-77FBE0DA1FE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9DB38416-6077-4086-9E55-E863AA98236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417D5946-B199-4DDB-9738-0A97F8C5D85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4D34BFB0-A44D-4B85-B3CB-D215AA0330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08871F8C-4E9C-40C8-BCFE-A53A58ED772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F0FE127C-E1A4-4A07-9AA4-66A3FDAFB9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B02D682A-3992-447D-B10D-0DBE8EDAFA2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4B81196D-2DBD-4916-A9D2-937C228E0FC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FA4ADC1D-F929-420C-8840-127BC2423D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4820D0AB-55D8-4DC7-B237-D6D719B36AF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2EEB32B7-D7A2-4142-B74D-BC79CF322C8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33E7316E-F1D8-4732-BC40-F9156426EAF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51613055-F287-40E2-8C4F-0C3DEB212AF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FB8693F0-57D2-4549-A394-29ED731C7E1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8B779C97-4015-4A8E-876A-27066ACD0F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69B982A5-5969-4E6F-BCDF-E7AB7511D64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FABDDE8C-9F48-4636-AD43-DA8E78A069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23F0254D-AE26-4C5E-AC62-8C58DBF08B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D8708359-DF25-43B6-B634-629C8FBF83E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A64C9888-31CF-4A8D-B19F-75D76AE93315}"/>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742E6A32-448F-47E9-A2A8-CFC47BE8ED6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5559EBDA-023F-4514-84B7-516069AABF7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B452D35E-DF88-4A17-BA18-85EF1800972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57D9AE44-21E2-4ADD-BDE8-92832A1EC68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43FA8C43-FF62-4EFC-A633-88EA6B2EC9E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DFEA2B97-7B21-42D4-9AC3-154773A15AB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F9F4FB96-99B8-4E4E-B4CF-4008356DFF5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F3B8ED64-1E08-4CDD-BF3C-835FAD1086C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19A94911-0C57-4762-ADB9-ABD6AC7AC4C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FD67772C-22E1-4EA0-97D3-6EA7986C43D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9BAEB20C-4E59-4F68-8992-66112123A1E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05D5EC46-249C-4EA7-8FED-2F44D6F182C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F70B8D09-B060-42FB-8058-66A39152223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844AFE29-D085-4779-B10A-15A87126C40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DF1499DD-D501-4A29-931B-FB603375B8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1B6533FE-458A-42DE-BB35-E07BA53A5B8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BECB8A60-6712-4474-8C94-CA96A52AC1C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04B2A193-F493-4388-B39D-9AFCE89A9C8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F83814A3-39F9-45D4-863A-6326F2304C2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4A872D92-3204-4624-803E-DF139D454E2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0C3B65B8-6C54-4123-8A38-9CF7119B797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3BBAD310-0498-4B6F-933F-D6FE4151A7C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5DE28522-557C-4672-9F4D-FD188EC26E1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68AC68A4-5D8E-4B20-AC71-374E443BF4C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602C3172-21C8-47A1-8044-E9A5DF89CF9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9E459A39-1220-454E-96E8-76BBCA03B88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66E0C49F-5600-4026-BD01-99B37B0ABBA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5E26DDFA-C822-4200-8A14-04D1610BC83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DD71908F-826D-4F98-885B-BFEB80CD9FE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359DC6C3-EB69-42CE-B68F-73DBECB8D9C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9C62001A-CB98-4FFF-B95C-9E7896110E8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64BFD3DC-958A-4B5D-B36C-DB4D9B55B41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BAE0BF05-2C9F-436D-889A-9ACC9E3BC4C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F3FC0861-94B7-4B85-91EB-CD0289D8263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5B66DB81-FCE0-4B1D-BD6B-F7A087381CD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72AD6456-6546-4274-B4B9-99C748228E50}"/>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98EAE463-007F-4F5F-81B4-AEA12990183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08A2DB91-60EC-43F8-BAF6-534FB367F71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6953989B-0F30-463C-AC15-26AD68844E9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88465687-D286-4E21-92C3-9087E2F4074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733A8D5E-B4FC-4114-A756-3E5275C3B25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5F366648-5942-4CC2-807B-E33D6738765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3ED7A767-6C1A-4628-AF04-4D0763AC587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EDAFD095-F2A6-497F-BA8C-9B60631CED7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5D6ED8C1-8EBA-490D-9821-9437E620A9C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02C96A95-7468-42BD-B416-FE2883CDAA3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1CE98A7C-74BA-4BB5-8679-05CF83505BA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5E818019-4E32-47C9-A70B-B8BE3D9B3ED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6DDCF821-CD9D-46B5-A57F-4D3CC1B040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49C36F27-E7D6-49A8-A2E9-27B1AADF74B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38387389-2129-4424-802D-1C1D9FDB84A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448015DB-4D1A-4E87-9BF8-8630AE6FACF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E5101EED-1D3C-4061-B35F-D5184B41DCB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8BD90EF8-2FA6-4433-818D-A9F40A24C34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BFC5A51E-BEE1-445C-BB8B-3D01CA732FA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857D9D19-A96E-434C-922C-D790B5B2282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0A847F55-69BA-47C8-A290-FF9D8DC40D8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AEA523F8-7C07-4343-8691-EE63D209877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A473CF29-6C96-4DEE-8FFB-158F2B2501C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EC0BA90C-EA9C-4894-8C85-4C8C022724B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A16F5686-6DC2-4394-9FCC-B6331E148B3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C9DD805A-1810-4EA7-B852-4A18BDF5262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8D97A0D3-B575-46DD-AC16-A5EB964879E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507473F9-1FA9-4021-A5C3-E351E088D9D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4E0E0B3B-78C3-4EB8-B778-0B661B541F5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B8C8B8CC-7E13-4F59-B260-3C871F54D64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2AF59603-CD4A-4378-8E59-4DFC2F1828B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9536F07E-D513-467C-AAA1-927D762D59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224EFD11-8DBC-404F-A687-CFDE9F33672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41C2F9DE-4B2B-4A17-B764-1E272B682A1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EBBD3B5B-6F40-469F-87BB-955E4ED4877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15C8B955-0D4D-4995-920C-1D021CC5A55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AF20942D-BE3F-4F97-B817-7E9B96D12C3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D8A12EA7-0562-4FE1-9579-76BE8A3C609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144B72D2-DF0C-41A9-985C-8DD95AB4DCE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41634F54-6A5A-47C3-B755-1EB132D4628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D52A6DE2-90AC-4504-A896-57319FA0992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7E3FD611-6418-4890-9A51-3D5CD44F9A0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C7EB500D-E6BF-4105-9797-7DFB348F583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62E3732E-EA13-413C-927D-A06A994B241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2F45F7CD-265B-4577-93F4-587E8DD286F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C1E8E69B-995B-41AB-A45C-DCA04D1FB26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2DDEAC98-1624-4BCB-9A12-2163DA8FE96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1FBF3DC0-B6C7-49D2-83D9-A1F7A21A5F5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748012A8-FC8D-466A-AD07-EF6A96E8262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AEEF389E-04CC-4235-8AB1-0575C59A690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A8BA1381-0520-4684-82A1-272B1482891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11C9D054-4350-450A-BAA2-A245C08815B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45A4DAE1-878B-4A1C-9519-4830080C73F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17D36AF8-E298-4294-A5EC-EE156A9E0A9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14D319EB-7D38-42EF-99CA-D94F8A6E8C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F8EA9A8A-80A3-43C6-9417-16ACF11419B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12E93E9C-7CFE-4EBE-9D67-A898CC95C29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5AEE7A7C-03CF-4536-9047-DCF7BB112C6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2158AD41-0BA1-4C59-891C-29147311A1C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68489E6A-80E1-4DA0-8396-825096E71C4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F271286E-FCBF-47EB-A061-146758F803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D67ABB1F-A315-4494-87E3-121177F0EDC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6BDC62DF-2914-4BA6-8157-C60FD06DFC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6DDF6167-6059-41F8-B10C-A0BD1BA460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65B05231-C5E8-4B39-95D3-C754A06846F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C3403306-9500-4D2D-8ED1-023274AE012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C553A87B-5A43-4331-BE98-B7C456486E9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9C1A4180-E4AF-42C1-BC04-B565C66F537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B3BA0349-DC26-4DC0-B1D0-78AE85AB99F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5119D0D9-7297-4CBB-975A-C3632971B68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58F3EE3B-52F8-4930-A2E7-444BD6FF513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96A21378-FE88-4DDE-A59F-685B6A0BCE4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73D208F8-24ED-4378-ACB7-24FDD0E9F3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31959644-BA6C-47DF-9D49-C5B74270614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5F5E2A90-9A41-40ED-B183-98D297849D1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A91E07F1-A94B-461E-872F-2C7B53B385C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E35BD0C8-E58B-472F-86FC-9E7D2CE7B0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CD765BB5-9176-4807-9863-1917D279A3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3D16F639-596F-4611-957D-7F55F94A24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ECC1124D-1591-4C57-9401-7931689393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C16655C8-168E-46E5-AF15-3031593AAAE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9F54817C-FE8D-4A19-A974-6F0A13AA328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600BEFFB-B809-4395-8174-0B3FBF67EE3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CE24292D-B760-4756-9ACA-98803A1F12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42ED1424-BD6C-451B-86B0-5B53300BC13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5E2512D7-954F-4CD4-AD6C-B5E83E9519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35D2B3F5-869A-421F-985B-18C412C2200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D852516A-C5FB-47D8-A8E5-10E0A5F16F4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9D948ED4-C20F-4AE9-9FBE-FFF1FAD073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D4C310AF-1080-4A6D-B40E-E2BAD45319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5ADDBEDC-E18A-4043-A771-D0ADA110713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95AEDBCC-4FF2-4A0A-BDFE-C0CE0DEB7D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9998AD21-C576-4316-B517-BA6F202DE4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AE6F3552-74EE-420C-9342-FCCF9814B90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C3EBBF5B-481F-4149-8812-CD5D1A8D88B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509265EB-37CE-47A9-B8EC-C5AF5E88E4B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68C715D3-2840-48BD-8624-F7DCE387C4F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5551A774-B7A1-4631-947A-A28CA943531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31AE7E48-2908-44D0-B470-103C4A40E1D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0F5100DE-4A54-44CB-932B-3F01C74414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CA8E1671-214E-4B9A-AF14-BDD79854AB0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15B17692-F304-43F2-8BBD-09CC3CD64E9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3A1E692B-5432-48B6-B8F5-FED1D154D1B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D78641DF-DCE7-448C-BABB-1709507A38A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560E2B2E-3700-4B28-B82F-F08E44F1460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3FCD9A97-F4DE-44E0-9829-E41FADFAA2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2AAA25E5-45AC-4ED9-BB29-624597E956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F0F3CF48-2056-4E75-96F2-A0FF2E0E742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8A2BE978-E673-4847-B177-A4BA6206CF7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F9526570-DB6D-4D56-B5D6-30CE181B2C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BD68B52D-6587-4B84-B84D-C69D2F8E13E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F209709B-99C4-42F5-A297-442B8B895E8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5AC75B7D-8419-4551-BC7E-69E1850928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9876BF87-2CE8-4AB4-B928-0F15F79B864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9068E3FC-0115-4DC3-B487-2FC21F40E0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CF502A31-2900-471C-93A9-C71A4F2AA0F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2D7FC320-C707-408A-AE8A-E3F8B6ED4AD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657BEE4C-106A-4059-9C18-096B599E329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743410FF-E5CA-477B-B43C-D0C27E1DE62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41AAC1C9-2872-44BA-A46C-F13669AE70A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6987F1AE-4323-4958-A3CD-2DE5B9A417C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7E8C90D8-2C36-4309-BDA3-F89629F69B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FA3DD214-5203-47DB-8EAE-D085DCEFC3D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9FFC0899-F277-409B-B537-AC41C9934AE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5A50F72D-CC0C-4927-A36A-7CF5BA041D8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B479BF51-AF7A-4F74-85FB-48429044AB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BB3DCADC-F169-4834-B40F-47F292E05F4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498B17AF-92E8-4B6E-8509-F1C36E9EBEA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297DE5CA-DCBB-4450-B3B9-1ABC8C1512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8A8CA06C-327A-4898-B086-D5985391651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FF24B6F9-5F23-4472-AC2F-79C507FE5E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4A136C0B-AFF1-4664-9EBC-A4B824D1E3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365323D4-813B-4B1C-A109-317BE0D543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650F4946-2F04-4878-9115-79238E36A5E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CBB47934-A537-4213-91C9-2F2CB1B1FA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F5038165-6B50-4480-8172-B8C2744DC7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1957A624-F903-46D7-83A6-A25FAC3580E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1A74C547-6EA7-448D-A6AE-E9C3C1EA8D3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6C0AC080-F116-4BC0-8905-483AEC824E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B46395FD-92D3-4CC0-A5FE-3DAF4E23800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FC082DD6-3E7A-4806-8E61-BBAA96134BF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CA12681F-AE0D-45E4-AFED-BDD2657A2F0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0A943769-12B5-403C-A627-1816D4BD075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41FBB424-E98A-46A4-9D16-7C8FA1D4819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6FBA6867-2AAD-4518-B4FB-4F2DDA1A88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FD6AF576-7066-4823-9945-888209321AA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376A5C2C-6D44-4300-8554-049ABC1E3C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00DC18C8-8526-4940-B7DE-2977EFCDDC2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409071C8-973F-411D-BC81-536E52ABCC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5F48B8AB-E308-41A2-9D6B-7D539C1314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9CDB399E-6326-4525-BCA1-2EFB94ED4EF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47309FB3-D0E9-4CDD-9663-617AADF5D5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D38DBD0A-9DF9-4593-AB40-009F65136C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BD51F486-9732-4585-8149-6B0D0F22A8F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2A435797-4EA0-458D-A911-3BC93F0F40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3C761378-1E9F-418B-B6C1-A75B1367398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6E2828D8-E9A6-42E4-B948-4BDAF41FBE0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03B99EAD-556D-403C-ACE5-4FAC82AA66D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D471CB34-7A6F-42CB-ACE6-1274BA4CA0E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6F2B82B0-59B5-4DD6-8658-076B61E198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305C332A-7210-462F-A19E-EBC804B8E8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FE75880B-73A5-41F9-B821-C25F360768A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A2590993-3412-4C43-9FD9-25C9AE805B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4A5DC07F-D6D3-4BD9-836A-EA1053449AB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5BD3FFD3-41D6-46C5-8324-CC100E2FA47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79274576-4684-4484-8939-31A96DB087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B94D65AB-C341-4F94-BE23-35A2DC11FE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BA431AA4-3293-4A79-A8F3-B78044052BF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F9B43669-3D42-48B7-A60F-75FD1566610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53DDB42B-2EF3-4861-A8FD-56898EA516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21E7E676-BF41-4E9F-8EE6-C3D4BD7B35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46B9EB58-CE7D-46D2-8ECA-D512BC8A8AD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962F5DE1-D625-4FD7-90B4-A243EACCBA6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9EFB74A1-42AB-4E61-BF19-A8CC6EC7329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CB111678-29F3-4C35-BA8B-130C58489A1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8BADF388-FCF1-4D89-90AA-5251050EB1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B53726FC-8FE1-455C-982C-E8984DAEA8A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2B1ED229-0E78-46EB-BF9F-F617ED691CE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B9FA4E4B-9641-473F-B512-BF5EB0C329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E4AF9B3D-0564-4793-967D-B1254931195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3CC718AD-1FE7-494D-AD9B-A009E7F33D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C27D145E-CA1C-4E7B-93DF-906F8B16812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1AD05877-CE02-426E-AD0F-549BB44680D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60FE6546-C5CB-4119-896E-504A77BFB6D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EFCE742C-83BF-4CE8-856C-1B168D0ECE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B7FBC68D-B66F-452D-83E1-1B66656D176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57159820-9AB7-4505-8D05-A73A995DEFC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35B80691-28D4-4C13-BC3D-70298C976A0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5D410D97-4056-49CB-AD04-3D09557158B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FA6A2EA0-6EE1-4406-8234-F8B952076F7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63FF4990-A86A-4B3D-A3E0-80D02BBF3E5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A53F8B6D-8CB8-4169-9420-578F65E09C9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BB7934CF-04EA-4CC8-B62A-87BD374AF38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1FCB06AC-391E-4E16-8421-D256C884D34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2B41C742-449C-4BE6-9586-1C56FC9956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A1F976EA-C898-40AB-B78D-AC2B57B790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78F99384-CA53-4AC9-8C48-79A579A4A93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F1BA4B88-7C42-442B-AFFC-97D9207420F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C918163B-4D8C-49F5-8B40-39BF26E5606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CD84A7AB-2022-47CF-AEF5-271C8F147AF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C440586B-6835-4DBB-AB9C-0789674D6F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754D79AB-232E-4D35-BC9B-21EE5E8596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92F02AFE-0204-4440-B037-34192953C1C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7A7C0FEE-3FC6-4EF3-9848-24B0F610F2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A850E8BB-FE8F-44C0-A75E-82B834B49D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DEC18689-419D-4516-88B6-2D4EB2AB358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2B8E8522-BCF3-474B-B35C-D7BF9FDA0A7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F9C8FCCC-14BC-47C3-9CC6-8B76E8E6B1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1503CF9E-F1A1-4EBB-B5DD-56557B898B2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909EFB84-7E5E-44F5-B882-63D90767A3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CBAD9B66-F929-48FE-95D3-B93BBB454F0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C0F4603C-9E4A-454A-8556-6A58B380C91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B7F0FA32-422C-4A0D-AC4D-D62041BDD0E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AF968647-09D0-4BCB-AA08-5FFE9F5C7D0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B90330DB-E7A8-4541-9A37-740BDAE8CBE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A92DC061-2966-42BB-872F-E85123E5F88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7B412EB2-BFB7-4750-8AB1-35E92AF64B4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0884E6B1-355D-4E57-8A02-3403E638006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F491BF17-CD61-459F-B716-77C04F0CEB9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CFA6399B-04E6-4ACE-9F2D-A1C83518D0D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CCE85D75-2F18-42D1-8C55-8D12CB50A8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52D156E3-FC2A-4442-A0C8-3E8A618EE0C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7E4B6373-3705-4D10-B476-399B2BA7801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DFDD71FC-DBDC-46C0-A780-86BBDE15C7D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1E00707C-9EC0-40F0-A587-098A861842E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505F2C16-109D-4CEB-ABF1-5DE8AABBEF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C638539B-46B1-4C92-927B-834C2BF394B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1BB0CDDE-6B46-47F8-8C44-EB96115CC0C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A690A561-2F42-400B-BDDE-B69E73B43D3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74C1A074-8964-45FD-9253-28D66CC451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86E70A3B-C613-44D7-A4F9-E0EF96F00D9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61DB7738-7FEA-450A-BF26-CF000B320C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BED89EA9-E7B7-4273-A2BC-1FB0E1AD0A3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33A43D07-3BDA-4E02-831E-9E103C14FA4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0CF89D60-E86C-4D7A-81FB-5E5D0ED3652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CAD44F02-9A78-4E4B-B60F-F46A69FB97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9B092ECB-9A60-4F3E-8CBD-089E598440D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377EEE42-0BA7-431A-8CE2-A4857E4A71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7FD267B0-2222-495A-82C4-4044CD0EE27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BA3F77CA-C74A-421A-A574-8208ECB29ED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556C5B06-5772-4B7D-87E5-3DA2C970573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523DCF9D-6A01-4B8F-9E0D-6A2E82B835A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E9AE9B8D-ED19-41A9-A656-EA309C2C26F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559853CA-6AAC-4813-9F0C-556FB3A76FB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7800B32E-1A73-462D-89A0-6289530CB2B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51DCAA0B-A6B8-46CC-9175-446AFC93659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A34A0229-E09A-439D-9F10-7C89159B306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850A5E77-C63A-4DA0-AFC1-D4FBC17E5BB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260C407F-6483-4CB6-BF61-3CC09D70921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0E398BC9-C3C1-4EF1-B148-4DBB5F47D7F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0</xdr:colOff>
      <xdr:row>5</xdr:row>
      <xdr:rowOff>0</xdr:rowOff>
    </xdr:from>
    <xdr:to>
      <xdr:col>19</xdr:col>
      <xdr:colOff>0</xdr:colOff>
      <xdr:row>5</xdr:row>
      <xdr:rowOff>0</xdr:rowOff>
    </xdr:to>
    <xdr:sp macro="" textlink="">
      <xdr:nvSpPr>
        <xdr:cNvPr id="2" name="Line 1">
          <a:extLst>
            <a:ext uri="{FF2B5EF4-FFF2-40B4-BE49-F238E27FC236}">
              <a16:creationId xmlns:a16="http://schemas.microsoft.com/office/drawing/2014/main" id="{88B3748C-EC07-4C1D-96D8-E0F3A576DD1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 name="Line 2">
          <a:extLst>
            <a:ext uri="{FF2B5EF4-FFF2-40B4-BE49-F238E27FC236}">
              <a16:creationId xmlns:a16="http://schemas.microsoft.com/office/drawing/2014/main" id="{E95E18F1-FA9E-4870-97A8-CB31F73C7C3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211</xdr:col>
      <xdr:colOff>0</xdr:colOff>
      <xdr:row>5</xdr:row>
      <xdr:rowOff>0</xdr:rowOff>
    </xdr:from>
    <xdr:to>
      <xdr:col>211</xdr:col>
      <xdr:colOff>0</xdr:colOff>
      <xdr:row>5</xdr:row>
      <xdr:rowOff>0</xdr:rowOff>
    </xdr:to>
    <xdr:sp macro="" textlink="">
      <xdr:nvSpPr>
        <xdr:cNvPr id="4" name="Line 4">
          <a:extLst>
            <a:ext uri="{FF2B5EF4-FFF2-40B4-BE49-F238E27FC236}">
              <a16:creationId xmlns:a16="http://schemas.microsoft.com/office/drawing/2014/main" id="{F095694C-6AA8-4C61-9293-7F1101BD3B16}"/>
            </a:ext>
          </a:extLst>
        </xdr:cNvPr>
        <xdr:cNvSpPr>
          <a:spLocks noChangeShapeType="1"/>
        </xdr:cNvSpPr>
      </xdr:nvSpPr>
      <xdr:spPr bwMode="auto">
        <a:xfrm flipH="1">
          <a:off x="93640275" y="1590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 name="Line 5">
          <a:extLst>
            <a:ext uri="{FF2B5EF4-FFF2-40B4-BE49-F238E27FC236}">
              <a16:creationId xmlns:a16="http://schemas.microsoft.com/office/drawing/2014/main" id="{BB468A26-6C55-4715-874E-B880B7E60EA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6" name="Line 6">
          <a:extLst>
            <a:ext uri="{FF2B5EF4-FFF2-40B4-BE49-F238E27FC236}">
              <a16:creationId xmlns:a16="http://schemas.microsoft.com/office/drawing/2014/main" id="{82AC71F8-8575-4274-9827-DA21F3038B6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7" name="Line 7">
          <a:extLst>
            <a:ext uri="{FF2B5EF4-FFF2-40B4-BE49-F238E27FC236}">
              <a16:creationId xmlns:a16="http://schemas.microsoft.com/office/drawing/2014/main" id="{4B2A4F86-1EEB-410B-A101-6BE4ACF2274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8" name="Line 8">
          <a:extLst>
            <a:ext uri="{FF2B5EF4-FFF2-40B4-BE49-F238E27FC236}">
              <a16:creationId xmlns:a16="http://schemas.microsoft.com/office/drawing/2014/main" id="{05424E22-C8B9-4F4E-A3E0-A294EA01423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9" name="Line 9">
          <a:extLst>
            <a:ext uri="{FF2B5EF4-FFF2-40B4-BE49-F238E27FC236}">
              <a16:creationId xmlns:a16="http://schemas.microsoft.com/office/drawing/2014/main" id="{C2D08070-C0AB-4047-A7E2-19CDA4F8D25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0" name="Line 10">
          <a:extLst>
            <a:ext uri="{FF2B5EF4-FFF2-40B4-BE49-F238E27FC236}">
              <a16:creationId xmlns:a16="http://schemas.microsoft.com/office/drawing/2014/main" id="{3FD433DD-C24D-4DF7-B94B-0CEC43F7FA1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1" name="Line 11">
          <a:extLst>
            <a:ext uri="{FF2B5EF4-FFF2-40B4-BE49-F238E27FC236}">
              <a16:creationId xmlns:a16="http://schemas.microsoft.com/office/drawing/2014/main" id="{758C8D76-025C-4C55-8DDE-7F9A3721800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2" name="Line 12">
          <a:extLst>
            <a:ext uri="{FF2B5EF4-FFF2-40B4-BE49-F238E27FC236}">
              <a16:creationId xmlns:a16="http://schemas.microsoft.com/office/drawing/2014/main" id="{2EC76C27-9305-41D1-9575-F1E44037C57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3" name="Line 13">
          <a:extLst>
            <a:ext uri="{FF2B5EF4-FFF2-40B4-BE49-F238E27FC236}">
              <a16:creationId xmlns:a16="http://schemas.microsoft.com/office/drawing/2014/main" id="{B385FB9D-8AAC-48F7-9622-58F2F536C86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4" name="Line 14">
          <a:extLst>
            <a:ext uri="{FF2B5EF4-FFF2-40B4-BE49-F238E27FC236}">
              <a16:creationId xmlns:a16="http://schemas.microsoft.com/office/drawing/2014/main" id="{D0ED6DF4-10FD-4BE0-B347-AAC970C4D95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5" name="Line 15">
          <a:extLst>
            <a:ext uri="{FF2B5EF4-FFF2-40B4-BE49-F238E27FC236}">
              <a16:creationId xmlns:a16="http://schemas.microsoft.com/office/drawing/2014/main" id="{DF9AE580-7A9E-431D-B7AA-D2DC8E9BA0C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6" name="Line 16">
          <a:extLst>
            <a:ext uri="{FF2B5EF4-FFF2-40B4-BE49-F238E27FC236}">
              <a16:creationId xmlns:a16="http://schemas.microsoft.com/office/drawing/2014/main" id="{3F3AAD57-75E0-4E93-8261-9C257F5249D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7" name="Line 17">
          <a:extLst>
            <a:ext uri="{FF2B5EF4-FFF2-40B4-BE49-F238E27FC236}">
              <a16:creationId xmlns:a16="http://schemas.microsoft.com/office/drawing/2014/main" id="{AF22CE2A-0D37-4110-ADB5-9AEA62A93AA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8" name="Line 18">
          <a:extLst>
            <a:ext uri="{FF2B5EF4-FFF2-40B4-BE49-F238E27FC236}">
              <a16:creationId xmlns:a16="http://schemas.microsoft.com/office/drawing/2014/main" id="{9514C7E6-81E8-40E0-BF39-BC86E8C9332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19" name="Line 19">
          <a:extLst>
            <a:ext uri="{FF2B5EF4-FFF2-40B4-BE49-F238E27FC236}">
              <a16:creationId xmlns:a16="http://schemas.microsoft.com/office/drawing/2014/main" id="{856EAB48-97B3-4192-90A5-2983D47B455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0" name="Line 20">
          <a:extLst>
            <a:ext uri="{FF2B5EF4-FFF2-40B4-BE49-F238E27FC236}">
              <a16:creationId xmlns:a16="http://schemas.microsoft.com/office/drawing/2014/main" id="{A608991C-B1CC-4A36-AA49-C7F9B82E38B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1" name="Line 21">
          <a:extLst>
            <a:ext uri="{FF2B5EF4-FFF2-40B4-BE49-F238E27FC236}">
              <a16:creationId xmlns:a16="http://schemas.microsoft.com/office/drawing/2014/main" id="{ABF79B20-8B23-44C1-99AD-DAAED7FC3F48}"/>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2" name="Line 22">
          <a:extLst>
            <a:ext uri="{FF2B5EF4-FFF2-40B4-BE49-F238E27FC236}">
              <a16:creationId xmlns:a16="http://schemas.microsoft.com/office/drawing/2014/main" id="{2F537583-42EB-426E-A0F6-E0711B616DF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3" name="Line 23">
          <a:extLst>
            <a:ext uri="{FF2B5EF4-FFF2-40B4-BE49-F238E27FC236}">
              <a16:creationId xmlns:a16="http://schemas.microsoft.com/office/drawing/2014/main" id="{3A99125E-BFE9-4C70-9C58-A02814B555D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4" name="Line 24">
          <a:extLst>
            <a:ext uri="{FF2B5EF4-FFF2-40B4-BE49-F238E27FC236}">
              <a16:creationId xmlns:a16="http://schemas.microsoft.com/office/drawing/2014/main" id="{DE410531-2E6A-4D99-B3E0-899026C24A1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5" name="Line 25">
          <a:extLst>
            <a:ext uri="{FF2B5EF4-FFF2-40B4-BE49-F238E27FC236}">
              <a16:creationId xmlns:a16="http://schemas.microsoft.com/office/drawing/2014/main" id="{26187A79-A972-4983-B0CC-DF14B545BD2C}"/>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6" name="Line 26">
          <a:extLst>
            <a:ext uri="{FF2B5EF4-FFF2-40B4-BE49-F238E27FC236}">
              <a16:creationId xmlns:a16="http://schemas.microsoft.com/office/drawing/2014/main" id="{B8BBE8BC-76BD-48D1-8BAC-AD697D338D1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7" name="Line 27">
          <a:extLst>
            <a:ext uri="{FF2B5EF4-FFF2-40B4-BE49-F238E27FC236}">
              <a16:creationId xmlns:a16="http://schemas.microsoft.com/office/drawing/2014/main" id="{FCD6B1E1-0865-45FB-86DE-ED728E78BC3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8" name="Line 28">
          <a:extLst>
            <a:ext uri="{FF2B5EF4-FFF2-40B4-BE49-F238E27FC236}">
              <a16:creationId xmlns:a16="http://schemas.microsoft.com/office/drawing/2014/main" id="{54616A7B-235C-446D-8FBB-8353AA4BFC2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29" name="Line 29">
          <a:extLst>
            <a:ext uri="{FF2B5EF4-FFF2-40B4-BE49-F238E27FC236}">
              <a16:creationId xmlns:a16="http://schemas.microsoft.com/office/drawing/2014/main" id="{ADE107A7-6084-4D68-B378-A12371730E8F}"/>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0" name="Line 30">
          <a:extLst>
            <a:ext uri="{FF2B5EF4-FFF2-40B4-BE49-F238E27FC236}">
              <a16:creationId xmlns:a16="http://schemas.microsoft.com/office/drawing/2014/main" id="{7B8E6BD3-602A-4DCC-97C0-1F86FB60645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1" name="Line 31">
          <a:extLst>
            <a:ext uri="{FF2B5EF4-FFF2-40B4-BE49-F238E27FC236}">
              <a16:creationId xmlns:a16="http://schemas.microsoft.com/office/drawing/2014/main" id="{7B7F852D-F326-4EF6-A686-2A043700B061}"/>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2" name="Line 32">
          <a:extLst>
            <a:ext uri="{FF2B5EF4-FFF2-40B4-BE49-F238E27FC236}">
              <a16:creationId xmlns:a16="http://schemas.microsoft.com/office/drawing/2014/main" id="{9D58AAF0-D3E3-4730-97A4-0846E8E9445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3" name="Line 33">
          <a:extLst>
            <a:ext uri="{FF2B5EF4-FFF2-40B4-BE49-F238E27FC236}">
              <a16:creationId xmlns:a16="http://schemas.microsoft.com/office/drawing/2014/main" id="{F4552998-E2BD-4F53-BDD1-82D104865E4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4" name="Line 34">
          <a:extLst>
            <a:ext uri="{FF2B5EF4-FFF2-40B4-BE49-F238E27FC236}">
              <a16:creationId xmlns:a16="http://schemas.microsoft.com/office/drawing/2014/main" id="{9978EAB1-BFC3-40EB-9D9F-4CCD98355DC2}"/>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5" name="Line 35">
          <a:extLst>
            <a:ext uri="{FF2B5EF4-FFF2-40B4-BE49-F238E27FC236}">
              <a16:creationId xmlns:a16="http://schemas.microsoft.com/office/drawing/2014/main" id="{4144EAC5-60E1-4EFA-A6C8-27D3648DAED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6" name="Line 36">
          <a:extLst>
            <a:ext uri="{FF2B5EF4-FFF2-40B4-BE49-F238E27FC236}">
              <a16:creationId xmlns:a16="http://schemas.microsoft.com/office/drawing/2014/main" id="{EBFA5318-A608-469A-ACE9-CC8F2F229E0D}"/>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7" name="Line 37">
          <a:extLst>
            <a:ext uri="{FF2B5EF4-FFF2-40B4-BE49-F238E27FC236}">
              <a16:creationId xmlns:a16="http://schemas.microsoft.com/office/drawing/2014/main" id="{1209BE28-4CFA-48CC-A4CF-7ED6803FF80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8" name="Line 38">
          <a:extLst>
            <a:ext uri="{FF2B5EF4-FFF2-40B4-BE49-F238E27FC236}">
              <a16:creationId xmlns:a16="http://schemas.microsoft.com/office/drawing/2014/main" id="{86B89902-87C8-4694-BF53-590CE4D64BAB}"/>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39" name="Line 39">
          <a:extLst>
            <a:ext uri="{FF2B5EF4-FFF2-40B4-BE49-F238E27FC236}">
              <a16:creationId xmlns:a16="http://schemas.microsoft.com/office/drawing/2014/main" id="{BCF5F9BF-CD1C-44ED-88CB-0AFD5B15288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0" name="Line 40">
          <a:extLst>
            <a:ext uri="{FF2B5EF4-FFF2-40B4-BE49-F238E27FC236}">
              <a16:creationId xmlns:a16="http://schemas.microsoft.com/office/drawing/2014/main" id="{5EDD8014-CFE2-4793-B0CF-C9B96F216163}"/>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1" name="Line 41">
          <a:extLst>
            <a:ext uri="{FF2B5EF4-FFF2-40B4-BE49-F238E27FC236}">
              <a16:creationId xmlns:a16="http://schemas.microsoft.com/office/drawing/2014/main" id="{269C0C96-08AB-451D-AFA6-C5D34E49EBB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2" name="Line 42">
          <a:extLst>
            <a:ext uri="{FF2B5EF4-FFF2-40B4-BE49-F238E27FC236}">
              <a16:creationId xmlns:a16="http://schemas.microsoft.com/office/drawing/2014/main" id="{D2E88536-14ED-47EC-AFE5-73CDD4A4EA7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3" name="Line 43">
          <a:extLst>
            <a:ext uri="{FF2B5EF4-FFF2-40B4-BE49-F238E27FC236}">
              <a16:creationId xmlns:a16="http://schemas.microsoft.com/office/drawing/2014/main" id="{DCE579BE-DEFB-4C6F-BF72-B89AFEA4580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4" name="Line 44">
          <a:extLst>
            <a:ext uri="{FF2B5EF4-FFF2-40B4-BE49-F238E27FC236}">
              <a16:creationId xmlns:a16="http://schemas.microsoft.com/office/drawing/2014/main" id="{86DD2544-163A-4B07-826D-03A19E7723DA}"/>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5" name="Line 45">
          <a:extLst>
            <a:ext uri="{FF2B5EF4-FFF2-40B4-BE49-F238E27FC236}">
              <a16:creationId xmlns:a16="http://schemas.microsoft.com/office/drawing/2014/main" id="{C250E8D3-7913-4814-B93A-31E8F131EE46}"/>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6" name="Line 46">
          <a:extLst>
            <a:ext uri="{FF2B5EF4-FFF2-40B4-BE49-F238E27FC236}">
              <a16:creationId xmlns:a16="http://schemas.microsoft.com/office/drawing/2014/main" id="{69776617-0A7D-42ED-AABA-5BA8E2D0E075}"/>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7" name="Line 47">
          <a:extLst>
            <a:ext uri="{FF2B5EF4-FFF2-40B4-BE49-F238E27FC236}">
              <a16:creationId xmlns:a16="http://schemas.microsoft.com/office/drawing/2014/main" id="{D07422D3-7F43-4BB5-97C6-ACE7F1B7A2FE}"/>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8" name="Line 48">
          <a:extLst>
            <a:ext uri="{FF2B5EF4-FFF2-40B4-BE49-F238E27FC236}">
              <a16:creationId xmlns:a16="http://schemas.microsoft.com/office/drawing/2014/main" id="{2DE92672-2F8D-46F3-A8B9-A4B671A31CE9}"/>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49" name="Line 49">
          <a:extLst>
            <a:ext uri="{FF2B5EF4-FFF2-40B4-BE49-F238E27FC236}">
              <a16:creationId xmlns:a16="http://schemas.microsoft.com/office/drawing/2014/main" id="{9AA3A98F-1C4D-4DAD-BB3B-0A9CC89EDC97}"/>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5</xdr:row>
      <xdr:rowOff>0</xdr:rowOff>
    </xdr:from>
    <xdr:to>
      <xdr:col>19</xdr:col>
      <xdr:colOff>0</xdr:colOff>
      <xdr:row>5</xdr:row>
      <xdr:rowOff>0</xdr:rowOff>
    </xdr:to>
    <xdr:sp macro="" textlink="">
      <xdr:nvSpPr>
        <xdr:cNvPr id="50" name="Line 50">
          <a:extLst>
            <a:ext uri="{FF2B5EF4-FFF2-40B4-BE49-F238E27FC236}">
              <a16:creationId xmlns:a16="http://schemas.microsoft.com/office/drawing/2014/main" id="{3DFFBB64-FE80-4296-8BF4-CDABB45C5944}"/>
            </a:ext>
          </a:extLst>
        </xdr:cNvPr>
        <xdr:cNvSpPr>
          <a:spLocks noChangeShapeType="1"/>
        </xdr:cNvSpPr>
      </xdr:nvSpPr>
      <xdr:spPr bwMode="auto">
        <a:xfrm flipV="1">
          <a:off x="88106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1" name="Line 1">
          <a:extLst>
            <a:ext uri="{FF2B5EF4-FFF2-40B4-BE49-F238E27FC236}">
              <a16:creationId xmlns:a16="http://schemas.microsoft.com/office/drawing/2014/main" id="{9F3F9A7D-EA84-4164-9F71-FC52E926D02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2" name="Line 2">
          <a:extLst>
            <a:ext uri="{FF2B5EF4-FFF2-40B4-BE49-F238E27FC236}">
              <a16:creationId xmlns:a16="http://schemas.microsoft.com/office/drawing/2014/main" id="{6FBE0276-1F24-4936-B3D6-950A475EBF9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3" name="Line 5">
          <a:extLst>
            <a:ext uri="{FF2B5EF4-FFF2-40B4-BE49-F238E27FC236}">
              <a16:creationId xmlns:a16="http://schemas.microsoft.com/office/drawing/2014/main" id="{E1F62C8F-CBDF-4607-9EED-3267553283B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4" name="Line 6">
          <a:extLst>
            <a:ext uri="{FF2B5EF4-FFF2-40B4-BE49-F238E27FC236}">
              <a16:creationId xmlns:a16="http://schemas.microsoft.com/office/drawing/2014/main" id="{30F3967D-D1D8-4E10-84FB-79A1EBDA3FD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5" name="Line 7">
          <a:extLst>
            <a:ext uri="{FF2B5EF4-FFF2-40B4-BE49-F238E27FC236}">
              <a16:creationId xmlns:a16="http://schemas.microsoft.com/office/drawing/2014/main" id="{710652DB-D769-4CE4-BE97-803624943DF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6" name="Line 8">
          <a:extLst>
            <a:ext uri="{FF2B5EF4-FFF2-40B4-BE49-F238E27FC236}">
              <a16:creationId xmlns:a16="http://schemas.microsoft.com/office/drawing/2014/main" id="{C60EBCED-BE20-4EAB-9103-CE058A3E33F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7" name="Line 9">
          <a:extLst>
            <a:ext uri="{FF2B5EF4-FFF2-40B4-BE49-F238E27FC236}">
              <a16:creationId xmlns:a16="http://schemas.microsoft.com/office/drawing/2014/main" id="{5F5BDA1C-1177-41D0-94AB-BE487EA66A1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8" name="Line 10">
          <a:extLst>
            <a:ext uri="{FF2B5EF4-FFF2-40B4-BE49-F238E27FC236}">
              <a16:creationId xmlns:a16="http://schemas.microsoft.com/office/drawing/2014/main" id="{AB9105F7-A4A8-4926-95C7-556B6F8B1EB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59" name="Line 11">
          <a:extLst>
            <a:ext uri="{FF2B5EF4-FFF2-40B4-BE49-F238E27FC236}">
              <a16:creationId xmlns:a16="http://schemas.microsoft.com/office/drawing/2014/main" id="{2E11C79E-AF06-42DA-809E-3795FCC3031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0" name="Line 12">
          <a:extLst>
            <a:ext uri="{FF2B5EF4-FFF2-40B4-BE49-F238E27FC236}">
              <a16:creationId xmlns:a16="http://schemas.microsoft.com/office/drawing/2014/main" id="{F1A09240-F451-4C99-ADFC-180D80A45BD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1" name="Line 13">
          <a:extLst>
            <a:ext uri="{FF2B5EF4-FFF2-40B4-BE49-F238E27FC236}">
              <a16:creationId xmlns:a16="http://schemas.microsoft.com/office/drawing/2014/main" id="{BEE7A907-1DFA-4634-9A98-4CA043AE7EB5}"/>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2" name="Line 14">
          <a:extLst>
            <a:ext uri="{FF2B5EF4-FFF2-40B4-BE49-F238E27FC236}">
              <a16:creationId xmlns:a16="http://schemas.microsoft.com/office/drawing/2014/main" id="{2C80199E-BD45-45FC-AC01-949FE28B276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3" name="Line 15">
          <a:extLst>
            <a:ext uri="{FF2B5EF4-FFF2-40B4-BE49-F238E27FC236}">
              <a16:creationId xmlns:a16="http://schemas.microsoft.com/office/drawing/2014/main" id="{8C71E410-07BE-4A25-A3AB-A4B66965B6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4" name="Line 16">
          <a:extLst>
            <a:ext uri="{FF2B5EF4-FFF2-40B4-BE49-F238E27FC236}">
              <a16:creationId xmlns:a16="http://schemas.microsoft.com/office/drawing/2014/main" id="{365AB990-2D20-4655-99B0-0A06BE9248F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5" name="Line 17">
          <a:extLst>
            <a:ext uri="{FF2B5EF4-FFF2-40B4-BE49-F238E27FC236}">
              <a16:creationId xmlns:a16="http://schemas.microsoft.com/office/drawing/2014/main" id="{E208CC86-2BC3-4DFA-9C63-A9FD105132E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6" name="Line 18">
          <a:extLst>
            <a:ext uri="{FF2B5EF4-FFF2-40B4-BE49-F238E27FC236}">
              <a16:creationId xmlns:a16="http://schemas.microsoft.com/office/drawing/2014/main" id="{5EF867C9-9E2C-4F1A-9C28-B6E742A0FF0B}"/>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7" name="Line 19">
          <a:extLst>
            <a:ext uri="{FF2B5EF4-FFF2-40B4-BE49-F238E27FC236}">
              <a16:creationId xmlns:a16="http://schemas.microsoft.com/office/drawing/2014/main" id="{53382195-156C-4BF2-A512-146D8E9D6F6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8" name="Line 20">
          <a:extLst>
            <a:ext uri="{FF2B5EF4-FFF2-40B4-BE49-F238E27FC236}">
              <a16:creationId xmlns:a16="http://schemas.microsoft.com/office/drawing/2014/main" id="{00605A49-B378-499C-93F7-399477D4CD5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69" name="Line 21">
          <a:extLst>
            <a:ext uri="{FF2B5EF4-FFF2-40B4-BE49-F238E27FC236}">
              <a16:creationId xmlns:a16="http://schemas.microsoft.com/office/drawing/2014/main" id="{48572D97-2F3E-4ACA-AFB0-BD271811A8A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0" name="Line 22">
          <a:extLst>
            <a:ext uri="{FF2B5EF4-FFF2-40B4-BE49-F238E27FC236}">
              <a16:creationId xmlns:a16="http://schemas.microsoft.com/office/drawing/2014/main" id="{3472B2B9-A9E2-483F-9F68-E96AD6771BCE}"/>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1" name="Line 23">
          <a:extLst>
            <a:ext uri="{FF2B5EF4-FFF2-40B4-BE49-F238E27FC236}">
              <a16:creationId xmlns:a16="http://schemas.microsoft.com/office/drawing/2014/main" id="{699A2983-C805-4059-8A52-1E78DA5A55CC}"/>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2" name="Line 24">
          <a:extLst>
            <a:ext uri="{FF2B5EF4-FFF2-40B4-BE49-F238E27FC236}">
              <a16:creationId xmlns:a16="http://schemas.microsoft.com/office/drawing/2014/main" id="{A766A54E-D771-4FAE-B2C1-DC1F222DD7C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3" name="Line 25">
          <a:extLst>
            <a:ext uri="{FF2B5EF4-FFF2-40B4-BE49-F238E27FC236}">
              <a16:creationId xmlns:a16="http://schemas.microsoft.com/office/drawing/2014/main" id="{FF1BA16C-F4B4-4AC2-8860-5434C6D33A4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4" name="Line 26">
          <a:extLst>
            <a:ext uri="{FF2B5EF4-FFF2-40B4-BE49-F238E27FC236}">
              <a16:creationId xmlns:a16="http://schemas.microsoft.com/office/drawing/2014/main" id="{426CE771-9D36-4FEA-8745-141EF5A63B0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5" name="Line 27">
          <a:extLst>
            <a:ext uri="{FF2B5EF4-FFF2-40B4-BE49-F238E27FC236}">
              <a16:creationId xmlns:a16="http://schemas.microsoft.com/office/drawing/2014/main" id="{331858FD-05E1-46AC-AF2B-69D42014B3A3}"/>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6" name="Line 28">
          <a:extLst>
            <a:ext uri="{FF2B5EF4-FFF2-40B4-BE49-F238E27FC236}">
              <a16:creationId xmlns:a16="http://schemas.microsoft.com/office/drawing/2014/main" id="{5F98BC5D-EEAC-4E4E-99E8-1343DBB5C43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7" name="Line 29">
          <a:extLst>
            <a:ext uri="{FF2B5EF4-FFF2-40B4-BE49-F238E27FC236}">
              <a16:creationId xmlns:a16="http://schemas.microsoft.com/office/drawing/2014/main" id="{9C4E3A25-5F58-4D68-BC71-06DEFA8AD77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8" name="Line 30">
          <a:extLst>
            <a:ext uri="{FF2B5EF4-FFF2-40B4-BE49-F238E27FC236}">
              <a16:creationId xmlns:a16="http://schemas.microsoft.com/office/drawing/2014/main" id="{806834C3-5336-46FD-ABC1-2364CCF5A70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79" name="Line 31">
          <a:extLst>
            <a:ext uri="{FF2B5EF4-FFF2-40B4-BE49-F238E27FC236}">
              <a16:creationId xmlns:a16="http://schemas.microsoft.com/office/drawing/2014/main" id="{63A09B6C-73B5-42B7-8BDF-49A21AA1C4E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0" name="Line 32">
          <a:extLst>
            <a:ext uri="{FF2B5EF4-FFF2-40B4-BE49-F238E27FC236}">
              <a16:creationId xmlns:a16="http://schemas.microsoft.com/office/drawing/2014/main" id="{42BA7554-2967-43FA-9B5B-1D00BEE5EFA2}"/>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1" name="Line 33">
          <a:extLst>
            <a:ext uri="{FF2B5EF4-FFF2-40B4-BE49-F238E27FC236}">
              <a16:creationId xmlns:a16="http://schemas.microsoft.com/office/drawing/2014/main" id="{5C469F2F-4ED4-496D-BD9B-7B5844A564D7}"/>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2" name="Line 34">
          <a:extLst>
            <a:ext uri="{FF2B5EF4-FFF2-40B4-BE49-F238E27FC236}">
              <a16:creationId xmlns:a16="http://schemas.microsoft.com/office/drawing/2014/main" id="{8D8C804D-D439-4E44-9135-5636379AD49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3" name="Line 35">
          <a:extLst>
            <a:ext uri="{FF2B5EF4-FFF2-40B4-BE49-F238E27FC236}">
              <a16:creationId xmlns:a16="http://schemas.microsoft.com/office/drawing/2014/main" id="{FDB96EAC-FCEC-453A-B062-8B3253FBD759}"/>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4" name="Line 36">
          <a:extLst>
            <a:ext uri="{FF2B5EF4-FFF2-40B4-BE49-F238E27FC236}">
              <a16:creationId xmlns:a16="http://schemas.microsoft.com/office/drawing/2014/main" id="{BB182303-84B9-43D4-BD82-74C4F1F5836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5" name="Line 37">
          <a:extLst>
            <a:ext uri="{FF2B5EF4-FFF2-40B4-BE49-F238E27FC236}">
              <a16:creationId xmlns:a16="http://schemas.microsoft.com/office/drawing/2014/main" id="{FC047AA9-EEF5-4DB4-9B19-F8D4F44AF1B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6" name="Line 38">
          <a:extLst>
            <a:ext uri="{FF2B5EF4-FFF2-40B4-BE49-F238E27FC236}">
              <a16:creationId xmlns:a16="http://schemas.microsoft.com/office/drawing/2014/main" id="{2A456A90-E854-4683-8099-9AD9536A336D}"/>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7" name="Line 39">
          <a:extLst>
            <a:ext uri="{FF2B5EF4-FFF2-40B4-BE49-F238E27FC236}">
              <a16:creationId xmlns:a16="http://schemas.microsoft.com/office/drawing/2014/main" id="{7975DF87-A714-4F95-B91B-416C2D55806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8" name="Line 40">
          <a:extLst>
            <a:ext uri="{FF2B5EF4-FFF2-40B4-BE49-F238E27FC236}">
              <a16:creationId xmlns:a16="http://schemas.microsoft.com/office/drawing/2014/main" id="{21D6DF6D-8879-4706-9A6B-7A3CC95CDC21}"/>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89" name="Line 41">
          <a:extLst>
            <a:ext uri="{FF2B5EF4-FFF2-40B4-BE49-F238E27FC236}">
              <a16:creationId xmlns:a16="http://schemas.microsoft.com/office/drawing/2014/main" id="{92C32AF2-A22D-4829-9951-D3B195F490B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0" name="Line 42">
          <a:extLst>
            <a:ext uri="{FF2B5EF4-FFF2-40B4-BE49-F238E27FC236}">
              <a16:creationId xmlns:a16="http://schemas.microsoft.com/office/drawing/2014/main" id="{3CDA0E65-A806-444D-8E06-C1FD6EF5D50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1" name="Line 43">
          <a:extLst>
            <a:ext uri="{FF2B5EF4-FFF2-40B4-BE49-F238E27FC236}">
              <a16:creationId xmlns:a16="http://schemas.microsoft.com/office/drawing/2014/main" id="{658AAA67-0A06-4644-8638-D2E35E96B4A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2" name="Line 44">
          <a:extLst>
            <a:ext uri="{FF2B5EF4-FFF2-40B4-BE49-F238E27FC236}">
              <a16:creationId xmlns:a16="http://schemas.microsoft.com/office/drawing/2014/main" id="{D67A6C9C-52BB-4EC5-87F6-EE202ED7CA60}"/>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3" name="Line 45">
          <a:extLst>
            <a:ext uri="{FF2B5EF4-FFF2-40B4-BE49-F238E27FC236}">
              <a16:creationId xmlns:a16="http://schemas.microsoft.com/office/drawing/2014/main" id="{F6BBD761-364E-4492-8E3C-0E226602286A}"/>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4" name="Line 46">
          <a:extLst>
            <a:ext uri="{FF2B5EF4-FFF2-40B4-BE49-F238E27FC236}">
              <a16:creationId xmlns:a16="http://schemas.microsoft.com/office/drawing/2014/main" id="{44D84B8B-D4A7-470A-A1FD-F088804CEF6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5" name="Line 47">
          <a:extLst>
            <a:ext uri="{FF2B5EF4-FFF2-40B4-BE49-F238E27FC236}">
              <a16:creationId xmlns:a16="http://schemas.microsoft.com/office/drawing/2014/main" id="{C682C17C-0C62-4976-9252-3D7A166A4E44}"/>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6" name="Line 48">
          <a:extLst>
            <a:ext uri="{FF2B5EF4-FFF2-40B4-BE49-F238E27FC236}">
              <a16:creationId xmlns:a16="http://schemas.microsoft.com/office/drawing/2014/main" id="{341A393B-196E-4CEE-BBB8-8EEA23E081D8}"/>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7" name="Line 49">
          <a:extLst>
            <a:ext uri="{FF2B5EF4-FFF2-40B4-BE49-F238E27FC236}">
              <a16:creationId xmlns:a16="http://schemas.microsoft.com/office/drawing/2014/main" id="{86882ADD-1370-43AB-A593-65FF26918226}"/>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74</xdr:col>
      <xdr:colOff>0</xdr:colOff>
      <xdr:row>5</xdr:row>
      <xdr:rowOff>0</xdr:rowOff>
    </xdr:from>
    <xdr:to>
      <xdr:col>74</xdr:col>
      <xdr:colOff>0</xdr:colOff>
      <xdr:row>5</xdr:row>
      <xdr:rowOff>0</xdr:rowOff>
    </xdr:to>
    <xdr:sp macro="" textlink="">
      <xdr:nvSpPr>
        <xdr:cNvPr id="98" name="Line 50">
          <a:extLst>
            <a:ext uri="{FF2B5EF4-FFF2-40B4-BE49-F238E27FC236}">
              <a16:creationId xmlns:a16="http://schemas.microsoft.com/office/drawing/2014/main" id="{DCAC9C3A-4B63-481E-9BBD-0AF44D2A14DF}"/>
            </a:ext>
          </a:extLst>
        </xdr:cNvPr>
        <xdr:cNvSpPr>
          <a:spLocks noChangeShapeType="1"/>
        </xdr:cNvSpPr>
      </xdr:nvSpPr>
      <xdr:spPr bwMode="auto">
        <a:xfrm flipV="1">
          <a:off x="32508825"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99" name="Line 1">
          <a:extLst>
            <a:ext uri="{FF2B5EF4-FFF2-40B4-BE49-F238E27FC236}">
              <a16:creationId xmlns:a16="http://schemas.microsoft.com/office/drawing/2014/main" id="{55D0A18F-7CB6-4499-910B-4FB8759744E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0" name="Line 2">
          <a:extLst>
            <a:ext uri="{FF2B5EF4-FFF2-40B4-BE49-F238E27FC236}">
              <a16:creationId xmlns:a16="http://schemas.microsoft.com/office/drawing/2014/main" id="{363E9DC0-9D92-4025-B02F-06618E5FAB3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1" name="Line 5">
          <a:extLst>
            <a:ext uri="{FF2B5EF4-FFF2-40B4-BE49-F238E27FC236}">
              <a16:creationId xmlns:a16="http://schemas.microsoft.com/office/drawing/2014/main" id="{9FAAE0BC-40AB-4A4C-903F-B11CBFE5BB5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2" name="Line 6">
          <a:extLst>
            <a:ext uri="{FF2B5EF4-FFF2-40B4-BE49-F238E27FC236}">
              <a16:creationId xmlns:a16="http://schemas.microsoft.com/office/drawing/2014/main" id="{18FA052B-FCFD-4564-83BC-D0A571CA581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3" name="Line 7">
          <a:extLst>
            <a:ext uri="{FF2B5EF4-FFF2-40B4-BE49-F238E27FC236}">
              <a16:creationId xmlns:a16="http://schemas.microsoft.com/office/drawing/2014/main" id="{25679AB3-4B95-4120-A846-0580B77BBF5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4" name="Line 8">
          <a:extLst>
            <a:ext uri="{FF2B5EF4-FFF2-40B4-BE49-F238E27FC236}">
              <a16:creationId xmlns:a16="http://schemas.microsoft.com/office/drawing/2014/main" id="{74413A15-0950-4F80-AF5A-18F95F08F9D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5" name="Line 9">
          <a:extLst>
            <a:ext uri="{FF2B5EF4-FFF2-40B4-BE49-F238E27FC236}">
              <a16:creationId xmlns:a16="http://schemas.microsoft.com/office/drawing/2014/main" id="{F78A9400-543A-4B45-982F-65F0490DB6A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6" name="Line 10">
          <a:extLst>
            <a:ext uri="{FF2B5EF4-FFF2-40B4-BE49-F238E27FC236}">
              <a16:creationId xmlns:a16="http://schemas.microsoft.com/office/drawing/2014/main" id="{BCA66920-3BA1-4CAD-8FFF-C7E6C300B3B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7" name="Line 11">
          <a:extLst>
            <a:ext uri="{FF2B5EF4-FFF2-40B4-BE49-F238E27FC236}">
              <a16:creationId xmlns:a16="http://schemas.microsoft.com/office/drawing/2014/main" id="{ABA28904-ED6B-440E-B1E5-E2FEC059082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8" name="Line 12">
          <a:extLst>
            <a:ext uri="{FF2B5EF4-FFF2-40B4-BE49-F238E27FC236}">
              <a16:creationId xmlns:a16="http://schemas.microsoft.com/office/drawing/2014/main" id="{3E6B6798-F0E0-41CA-814F-3C6CE6E95D5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09" name="Line 13">
          <a:extLst>
            <a:ext uri="{FF2B5EF4-FFF2-40B4-BE49-F238E27FC236}">
              <a16:creationId xmlns:a16="http://schemas.microsoft.com/office/drawing/2014/main" id="{C74D7EF7-AE90-45F9-B9F2-3FCC275A238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0" name="Line 14">
          <a:extLst>
            <a:ext uri="{FF2B5EF4-FFF2-40B4-BE49-F238E27FC236}">
              <a16:creationId xmlns:a16="http://schemas.microsoft.com/office/drawing/2014/main" id="{38D59986-537A-4048-BCD6-391EA0DF1AC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1" name="Line 15">
          <a:extLst>
            <a:ext uri="{FF2B5EF4-FFF2-40B4-BE49-F238E27FC236}">
              <a16:creationId xmlns:a16="http://schemas.microsoft.com/office/drawing/2014/main" id="{FBF1CD62-BF8A-43E9-92E8-8EB94D9AB6D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2" name="Line 16">
          <a:extLst>
            <a:ext uri="{FF2B5EF4-FFF2-40B4-BE49-F238E27FC236}">
              <a16:creationId xmlns:a16="http://schemas.microsoft.com/office/drawing/2014/main" id="{2E3A126B-79A5-408C-A83F-6F5B063600C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3" name="Line 17">
          <a:extLst>
            <a:ext uri="{FF2B5EF4-FFF2-40B4-BE49-F238E27FC236}">
              <a16:creationId xmlns:a16="http://schemas.microsoft.com/office/drawing/2014/main" id="{87D82F19-09DE-4270-BDAA-5B58448BB2B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4" name="Line 18">
          <a:extLst>
            <a:ext uri="{FF2B5EF4-FFF2-40B4-BE49-F238E27FC236}">
              <a16:creationId xmlns:a16="http://schemas.microsoft.com/office/drawing/2014/main" id="{D000310B-8045-4902-818E-9D51B712D3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5" name="Line 19">
          <a:extLst>
            <a:ext uri="{FF2B5EF4-FFF2-40B4-BE49-F238E27FC236}">
              <a16:creationId xmlns:a16="http://schemas.microsoft.com/office/drawing/2014/main" id="{7E2FAF14-8F5F-4C68-B667-50C25C72FA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6" name="Line 20">
          <a:extLst>
            <a:ext uri="{FF2B5EF4-FFF2-40B4-BE49-F238E27FC236}">
              <a16:creationId xmlns:a16="http://schemas.microsoft.com/office/drawing/2014/main" id="{93B00EE2-C4CB-4C6D-9AD3-3EAFEA82563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7" name="Line 21">
          <a:extLst>
            <a:ext uri="{FF2B5EF4-FFF2-40B4-BE49-F238E27FC236}">
              <a16:creationId xmlns:a16="http://schemas.microsoft.com/office/drawing/2014/main" id="{BE09CD20-4314-4756-ADE4-AC9AB9D6D7F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8" name="Line 22">
          <a:extLst>
            <a:ext uri="{FF2B5EF4-FFF2-40B4-BE49-F238E27FC236}">
              <a16:creationId xmlns:a16="http://schemas.microsoft.com/office/drawing/2014/main" id="{CCA1022A-2BDF-4784-80E1-1DD5F075C2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19" name="Line 23">
          <a:extLst>
            <a:ext uri="{FF2B5EF4-FFF2-40B4-BE49-F238E27FC236}">
              <a16:creationId xmlns:a16="http://schemas.microsoft.com/office/drawing/2014/main" id="{BC3F1433-33FA-448A-B3E8-6DF48BD9C4E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0" name="Line 24">
          <a:extLst>
            <a:ext uri="{FF2B5EF4-FFF2-40B4-BE49-F238E27FC236}">
              <a16:creationId xmlns:a16="http://schemas.microsoft.com/office/drawing/2014/main" id="{D67DA8E1-A218-4998-B8B9-7B493823E36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1" name="Line 25">
          <a:extLst>
            <a:ext uri="{FF2B5EF4-FFF2-40B4-BE49-F238E27FC236}">
              <a16:creationId xmlns:a16="http://schemas.microsoft.com/office/drawing/2014/main" id="{DC80ECEF-B715-4207-B786-66E95E82468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2" name="Line 26">
          <a:extLst>
            <a:ext uri="{FF2B5EF4-FFF2-40B4-BE49-F238E27FC236}">
              <a16:creationId xmlns:a16="http://schemas.microsoft.com/office/drawing/2014/main" id="{C70BD5E3-0CA9-40F1-A6B0-5C9E8FE996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3" name="Line 27">
          <a:extLst>
            <a:ext uri="{FF2B5EF4-FFF2-40B4-BE49-F238E27FC236}">
              <a16:creationId xmlns:a16="http://schemas.microsoft.com/office/drawing/2014/main" id="{551F2DDB-D827-4D7E-AA87-F18C7CCD87C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4" name="Line 28">
          <a:extLst>
            <a:ext uri="{FF2B5EF4-FFF2-40B4-BE49-F238E27FC236}">
              <a16:creationId xmlns:a16="http://schemas.microsoft.com/office/drawing/2014/main" id="{C73194A5-A2A0-40E3-B770-96785858C9C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5" name="Line 29">
          <a:extLst>
            <a:ext uri="{FF2B5EF4-FFF2-40B4-BE49-F238E27FC236}">
              <a16:creationId xmlns:a16="http://schemas.microsoft.com/office/drawing/2014/main" id="{C7630D86-3ABD-4D52-AAB5-F2B5689DEF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6" name="Line 30">
          <a:extLst>
            <a:ext uri="{FF2B5EF4-FFF2-40B4-BE49-F238E27FC236}">
              <a16:creationId xmlns:a16="http://schemas.microsoft.com/office/drawing/2014/main" id="{500122E1-F0D3-4675-8564-1EDA6572FCF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7" name="Line 31">
          <a:extLst>
            <a:ext uri="{FF2B5EF4-FFF2-40B4-BE49-F238E27FC236}">
              <a16:creationId xmlns:a16="http://schemas.microsoft.com/office/drawing/2014/main" id="{307216EC-5B94-4EAE-8A8D-BDB279CD82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8" name="Line 32">
          <a:extLst>
            <a:ext uri="{FF2B5EF4-FFF2-40B4-BE49-F238E27FC236}">
              <a16:creationId xmlns:a16="http://schemas.microsoft.com/office/drawing/2014/main" id="{B43D736C-0196-4761-9EBE-7ED898A0F9D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29" name="Line 33">
          <a:extLst>
            <a:ext uri="{FF2B5EF4-FFF2-40B4-BE49-F238E27FC236}">
              <a16:creationId xmlns:a16="http://schemas.microsoft.com/office/drawing/2014/main" id="{3B7964CD-57BC-4878-A62A-250B22A8086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0" name="Line 34">
          <a:extLst>
            <a:ext uri="{FF2B5EF4-FFF2-40B4-BE49-F238E27FC236}">
              <a16:creationId xmlns:a16="http://schemas.microsoft.com/office/drawing/2014/main" id="{43731721-D5EF-4093-A0B2-9CA943F6563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1" name="Line 35">
          <a:extLst>
            <a:ext uri="{FF2B5EF4-FFF2-40B4-BE49-F238E27FC236}">
              <a16:creationId xmlns:a16="http://schemas.microsoft.com/office/drawing/2014/main" id="{4FCBD60C-A31F-47C6-BE47-2C023D3EF49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2" name="Line 36">
          <a:extLst>
            <a:ext uri="{FF2B5EF4-FFF2-40B4-BE49-F238E27FC236}">
              <a16:creationId xmlns:a16="http://schemas.microsoft.com/office/drawing/2014/main" id="{2D3D3DC6-630C-43C3-B8EB-D75F26323F3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3" name="Line 37">
          <a:extLst>
            <a:ext uri="{FF2B5EF4-FFF2-40B4-BE49-F238E27FC236}">
              <a16:creationId xmlns:a16="http://schemas.microsoft.com/office/drawing/2014/main" id="{FC04DE1F-6333-42DA-9836-AECE892DE9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4" name="Line 38">
          <a:extLst>
            <a:ext uri="{FF2B5EF4-FFF2-40B4-BE49-F238E27FC236}">
              <a16:creationId xmlns:a16="http://schemas.microsoft.com/office/drawing/2014/main" id="{682975CC-1E07-4365-A2EB-A8B9358E1A2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5" name="Line 39">
          <a:extLst>
            <a:ext uri="{FF2B5EF4-FFF2-40B4-BE49-F238E27FC236}">
              <a16:creationId xmlns:a16="http://schemas.microsoft.com/office/drawing/2014/main" id="{FC3E4AFB-2000-4470-B965-B33488BF5C0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6" name="Line 40">
          <a:extLst>
            <a:ext uri="{FF2B5EF4-FFF2-40B4-BE49-F238E27FC236}">
              <a16:creationId xmlns:a16="http://schemas.microsoft.com/office/drawing/2014/main" id="{CC835992-F0F2-4BE3-B1BB-3F739B7FDE3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7" name="Line 41">
          <a:extLst>
            <a:ext uri="{FF2B5EF4-FFF2-40B4-BE49-F238E27FC236}">
              <a16:creationId xmlns:a16="http://schemas.microsoft.com/office/drawing/2014/main" id="{1FC398AD-B4D4-49A3-82AF-C371CC2827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8" name="Line 42">
          <a:extLst>
            <a:ext uri="{FF2B5EF4-FFF2-40B4-BE49-F238E27FC236}">
              <a16:creationId xmlns:a16="http://schemas.microsoft.com/office/drawing/2014/main" id="{6D4415FD-5ADA-45BD-BE27-A249C1B0A40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39" name="Line 43">
          <a:extLst>
            <a:ext uri="{FF2B5EF4-FFF2-40B4-BE49-F238E27FC236}">
              <a16:creationId xmlns:a16="http://schemas.microsoft.com/office/drawing/2014/main" id="{53C5AECE-4C81-4E84-BE51-637FC7935E0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0" name="Line 44">
          <a:extLst>
            <a:ext uri="{FF2B5EF4-FFF2-40B4-BE49-F238E27FC236}">
              <a16:creationId xmlns:a16="http://schemas.microsoft.com/office/drawing/2014/main" id="{1190653A-B87F-4C95-84D8-1CE6FFF4160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1" name="Line 45">
          <a:extLst>
            <a:ext uri="{FF2B5EF4-FFF2-40B4-BE49-F238E27FC236}">
              <a16:creationId xmlns:a16="http://schemas.microsoft.com/office/drawing/2014/main" id="{E7AF22A0-25CF-4864-8E8D-2178C45E0D7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2" name="Line 46">
          <a:extLst>
            <a:ext uri="{FF2B5EF4-FFF2-40B4-BE49-F238E27FC236}">
              <a16:creationId xmlns:a16="http://schemas.microsoft.com/office/drawing/2014/main" id="{2D78A800-83BF-4B03-A6B4-CD5396C3D2A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3" name="Line 47">
          <a:extLst>
            <a:ext uri="{FF2B5EF4-FFF2-40B4-BE49-F238E27FC236}">
              <a16:creationId xmlns:a16="http://schemas.microsoft.com/office/drawing/2014/main" id="{BEE51530-A7DB-4634-859A-597B06967F1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4" name="Line 48">
          <a:extLst>
            <a:ext uri="{FF2B5EF4-FFF2-40B4-BE49-F238E27FC236}">
              <a16:creationId xmlns:a16="http://schemas.microsoft.com/office/drawing/2014/main" id="{0A277277-B611-4FCA-8278-03250D3987E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5" name="Line 49">
          <a:extLst>
            <a:ext uri="{FF2B5EF4-FFF2-40B4-BE49-F238E27FC236}">
              <a16:creationId xmlns:a16="http://schemas.microsoft.com/office/drawing/2014/main" id="{37F1A111-3565-4A95-BC97-F4FC9E32442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46" name="Line 50">
          <a:extLst>
            <a:ext uri="{FF2B5EF4-FFF2-40B4-BE49-F238E27FC236}">
              <a16:creationId xmlns:a16="http://schemas.microsoft.com/office/drawing/2014/main" id="{49451C50-029F-477F-A689-33377CE465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7" name="Line 1">
          <a:extLst>
            <a:ext uri="{FF2B5EF4-FFF2-40B4-BE49-F238E27FC236}">
              <a16:creationId xmlns:a16="http://schemas.microsoft.com/office/drawing/2014/main" id="{A0A5F7E8-AF64-4C07-BF94-92B55AF430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8" name="Line 2">
          <a:extLst>
            <a:ext uri="{FF2B5EF4-FFF2-40B4-BE49-F238E27FC236}">
              <a16:creationId xmlns:a16="http://schemas.microsoft.com/office/drawing/2014/main" id="{A814868A-AD4D-47C3-8D5B-ACB0C609DB9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49" name="Line 5">
          <a:extLst>
            <a:ext uri="{FF2B5EF4-FFF2-40B4-BE49-F238E27FC236}">
              <a16:creationId xmlns:a16="http://schemas.microsoft.com/office/drawing/2014/main" id="{97F9A4EB-068C-43CA-AFBE-66B80C01B0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0" name="Line 6">
          <a:extLst>
            <a:ext uri="{FF2B5EF4-FFF2-40B4-BE49-F238E27FC236}">
              <a16:creationId xmlns:a16="http://schemas.microsoft.com/office/drawing/2014/main" id="{E047A828-D18B-472C-B4D8-06EDF0D2D94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1" name="Line 7">
          <a:extLst>
            <a:ext uri="{FF2B5EF4-FFF2-40B4-BE49-F238E27FC236}">
              <a16:creationId xmlns:a16="http://schemas.microsoft.com/office/drawing/2014/main" id="{DCAA0EBF-584C-4729-902F-80ABC97C60F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2" name="Line 8">
          <a:extLst>
            <a:ext uri="{FF2B5EF4-FFF2-40B4-BE49-F238E27FC236}">
              <a16:creationId xmlns:a16="http://schemas.microsoft.com/office/drawing/2014/main" id="{0C08F5DE-5BE5-4FB7-891A-65B17A9F92B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3" name="Line 9">
          <a:extLst>
            <a:ext uri="{FF2B5EF4-FFF2-40B4-BE49-F238E27FC236}">
              <a16:creationId xmlns:a16="http://schemas.microsoft.com/office/drawing/2014/main" id="{D7CDA449-D340-412D-982B-7C46A9AE5DD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4" name="Line 10">
          <a:extLst>
            <a:ext uri="{FF2B5EF4-FFF2-40B4-BE49-F238E27FC236}">
              <a16:creationId xmlns:a16="http://schemas.microsoft.com/office/drawing/2014/main" id="{916D0859-5081-45EF-8261-C1C95839C55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5" name="Line 11">
          <a:extLst>
            <a:ext uri="{FF2B5EF4-FFF2-40B4-BE49-F238E27FC236}">
              <a16:creationId xmlns:a16="http://schemas.microsoft.com/office/drawing/2014/main" id="{9371D4D1-D4AF-44E7-A605-41ACC51A441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6" name="Line 12">
          <a:extLst>
            <a:ext uri="{FF2B5EF4-FFF2-40B4-BE49-F238E27FC236}">
              <a16:creationId xmlns:a16="http://schemas.microsoft.com/office/drawing/2014/main" id="{8EAEF6A3-6CE4-454A-8852-F5F75057113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7" name="Line 13">
          <a:extLst>
            <a:ext uri="{FF2B5EF4-FFF2-40B4-BE49-F238E27FC236}">
              <a16:creationId xmlns:a16="http://schemas.microsoft.com/office/drawing/2014/main" id="{E6BC8F3E-E53E-4E27-A9E5-637F21245EF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8" name="Line 14">
          <a:extLst>
            <a:ext uri="{FF2B5EF4-FFF2-40B4-BE49-F238E27FC236}">
              <a16:creationId xmlns:a16="http://schemas.microsoft.com/office/drawing/2014/main" id="{A5472679-E13C-400B-B80C-921147E276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59" name="Line 15">
          <a:extLst>
            <a:ext uri="{FF2B5EF4-FFF2-40B4-BE49-F238E27FC236}">
              <a16:creationId xmlns:a16="http://schemas.microsoft.com/office/drawing/2014/main" id="{D6995ECF-73A5-47B7-9DB3-4B05D1FCC30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0" name="Line 16">
          <a:extLst>
            <a:ext uri="{FF2B5EF4-FFF2-40B4-BE49-F238E27FC236}">
              <a16:creationId xmlns:a16="http://schemas.microsoft.com/office/drawing/2014/main" id="{1F5C434C-C9CB-4800-8C0E-8F3DBC3F39A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1" name="Line 17">
          <a:extLst>
            <a:ext uri="{FF2B5EF4-FFF2-40B4-BE49-F238E27FC236}">
              <a16:creationId xmlns:a16="http://schemas.microsoft.com/office/drawing/2014/main" id="{E17F82F4-2906-421C-A447-0AE47B3A692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2" name="Line 18">
          <a:extLst>
            <a:ext uri="{FF2B5EF4-FFF2-40B4-BE49-F238E27FC236}">
              <a16:creationId xmlns:a16="http://schemas.microsoft.com/office/drawing/2014/main" id="{CB439A22-B8CD-469D-9C2F-8A27C969287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3" name="Line 19">
          <a:extLst>
            <a:ext uri="{FF2B5EF4-FFF2-40B4-BE49-F238E27FC236}">
              <a16:creationId xmlns:a16="http://schemas.microsoft.com/office/drawing/2014/main" id="{7E42F6C4-B15C-486E-9726-23D35E68E3A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4" name="Line 20">
          <a:extLst>
            <a:ext uri="{FF2B5EF4-FFF2-40B4-BE49-F238E27FC236}">
              <a16:creationId xmlns:a16="http://schemas.microsoft.com/office/drawing/2014/main" id="{9D828B18-FDC9-419D-A12E-0D39BF5D575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5" name="Line 21">
          <a:extLst>
            <a:ext uri="{FF2B5EF4-FFF2-40B4-BE49-F238E27FC236}">
              <a16:creationId xmlns:a16="http://schemas.microsoft.com/office/drawing/2014/main" id="{C9787E54-306D-4F73-962C-8E95FACE1DB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6" name="Line 22">
          <a:extLst>
            <a:ext uri="{FF2B5EF4-FFF2-40B4-BE49-F238E27FC236}">
              <a16:creationId xmlns:a16="http://schemas.microsoft.com/office/drawing/2014/main" id="{E57D2045-E9C5-44EE-A317-D29EC8706D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7" name="Line 23">
          <a:extLst>
            <a:ext uri="{FF2B5EF4-FFF2-40B4-BE49-F238E27FC236}">
              <a16:creationId xmlns:a16="http://schemas.microsoft.com/office/drawing/2014/main" id="{60D81D64-1128-4247-B277-11C72ECF4C1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8" name="Line 24">
          <a:extLst>
            <a:ext uri="{FF2B5EF4-FFF2-40B4-BE49-F238E27FC236}">
              <a16:creationId xmlns:a16="http://schemas.microsoft.com/office/drawing/2014/main" id="{1616E44C-9FE4-4E36-A75B-D49A997A2EA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69" name="Line 25">
          <a:extLst>
            <a:ext uri="{FF2B5EF4-FFF2-40B4-BE49-F238E27FC236}">
              <a16:creationId xmlns:a16="http://schemas.microsoft.com/office/drawing/2014/main" id="{673C96C8-3885-4335-B9CD-559A7CCA176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0" name="Line 26">
          <a:extLst>
            <a:ext uri="{FF2B5EF4-FFF2-40B4-BE49-F238E27FC236}">
              <a16:creationId xmlns:a16="http://schemas.microsoft.com/office/drawing/2014/main" id="{D11DA8A4-9EAC-452B-BD13-88A5B6D01E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1" name="Line 27">
          <a:extLst>
            <a:ext uri="{FF2B5EF4-FFF2-40B4-BE49-F238E27FC236}">
              <a16:creationId xmlns:a16="http://schemas.microsoft.com/office/drawing/2014/main" id="{C75B3425-99F0-4ED3-BEA6-73EE69F42C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2" name="Line 28">
          <a:extLst>
            <a:ext uri="{FF2B5EF4-FFF2-40B4-BE49-F238E27FC236}">
              <a16:creationId xmlns:a16="http://schemas.microsoft.com/office/drawing/2014/main" id="{E693819D-0E09-4211-BE0A-8022F0F0A63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3" name="Line 29">
          <a:extLst>
            <a:ext uri="{FF2B5EF4-FFF2-40B4-BE49-F238E27FC236}">
              <a16:creationId xmlns:a16="http://schemas.microsoft.com/office/drawing/2014/main" id="{4873135E-0540-4465-ADD4-78E9997D3CE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4" name="Line 30">
          <a:extLst>
            <a:ext uri="{FF2B5EF4-FFF2-40B4-BE49-F238E27FC236}">
              <a16:creationId xmlns:a16="http://schemas.microsoft.com/office/drawing/2014/main" id="{3037DDEB-161E-4AA7-80EB-3BD2A0D6944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5" name="Line 31">
          <a:extLst>
            <a:ext uri="{FF2B5EF4-FFF2-40B4-BE49-F238E27FC236}">
              <a16:creationId xmlns:a16="http://schemas.microsoft.com/office/drawing/2014/main" id="{5B182E45-F52F-4C6C-97BF-161EB34FBC4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6" name="Line 32">
          <a:extLst>
            <a:ext uri="{FF2B5EF4-FFF2-40B4-BE49-F238E27FC236}">
              <a16:creationId xmlns:a16="http://schemas.microsoft.com/office/drawing/2014/main" id="{73A48DFE-D0A9-44E2-B6B3-9289DFCFBA0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7" name="Line 33">
          <a:extLst>
            <a:ext uri="{FF2B5EF4-FFF2-40B4-BE49-F238E27FC236}">
              <a16:creationId xmlns:a16="http://schemas.microsoft.com/office/drawing/2014/main" id="{D5D6AF1C-1607-4DB0-983E-118AAA80A48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8" name="Line 34">
          <a:extLst>
            <a:ext uri="{FF2B5EF4-FFF2-40B4-BE49-F238E27FC236}">
              <a16:creationId xmlns:a16="http://schemas.microsoft.com/office/drawing/2014/main" id="{BBD4D0E0-8364-47C7-9C60-77EEF8C39EC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79" name="Line 35">
          <a:extLst>
            <a:ext uri="{FF2B5EF4-FFF2-40B4-BE49-F238E27FC236}">
              <a16:creationId xmlns:a16="http://schemas.microsoft.com/office/drawing/2014/main" id="{D30A15B4-5587-465F-87E7-866EF323E16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0" name="Line 36">
          <a:extLst>
            <a:ext uri="{FF2B5EF4-FFF2-40B4-BE49-F238E27FC236}">
              <a16:creationId xmlns:a16="http://schemas.microsoft.com/office/drawing/2014/main" id="{8AE67DC2-68AE-4FC3-88FD-D15A7B2789A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1" name="Line 37">
          <a:extLst>
            <a:ext uri="{FF2B5EF4-FFF2-40B4-BE49-F238E27FC236}">
              <a16:creationId xmlns:a16="http://schemas.microsoft.com/office/drawing/2014/main" id="{08D3BCE1-BB67-467F-92A6-EC58B90D7DB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2" name="Line 38">
          <a:extLst>
            <a:ext uri="{FF2B5EF4-FFF2-40B4-BE49-F238E27FC236}">
              <a16:creationId xmlns:a16="http://schemas.microsoft.com/office/drawing/2014/main" id="{F3676305-337D-448E-A9E9-85CC2D50A3C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3" name="Line 39">
          <a:extLst>
            <a:ext uri="{FF2B5EF4-FFF2-40B4-BE49-F238E27FC236}">
              <a16:creationId xmlns:a16="http://schemas.microsoft.com/office/drawing/2014/main" id="{33927DB7-0B8F-4F98-92D4-44E25063973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4" name="Line 40">
          <a:extLst>
            <a:ext uri="{FF2B5EF4-FFF2-40B4-BE49-F238E27FC236}">
              <a16:creationId xmlns:a16="http://schemas.microsoft.com/office/drawing/2014/main" id="{35603212-7A66-46A3-9D2F-3F162286D91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5" name="Line 41">
          <a:extLst>
            <a:ext uri="{FF2B5EF4-FFF2-40B4-BE49-F238E27FC236}">
              <a16:creationId xmlns:a16="http://schemas.microsoft.com/office/drawing/2014/main" id="{931DFFAB-CFBD-4705-A299-6E1C86CA7F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6" name="Line 42">
          <a:extLst>
            <a:ext uri="{FF2B5EF4-FFF2-40B4-BE49-F238E27FC236}">
              <a16:creationId xmlns:a16="http://schemas.microsoft.com/office/drawing/2014/main" id="{8E47CF99-B5FC-459D-9D96-D9C624628C3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7" name="Line 43">
          <a:extLst>
            <a:ext uri="{FF2B5EF4-FFF2-40B4-BE49-F238E27FC236}">
              <a16:creationId xmlns:a16="http://schemas.microsoft.com/office/drawing/2014/main" id="{7FF0D8F9-C406-4F44-9BF5-2C40C8B3F6D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8" name="Line 44">
          <a:extLst>
            <a:ext uri="{FF2B5EF4-FFF2-40B4-BE49-F238E27FC236}">
              <a16:creationId xmlns:a16="http://schemas.microsoft.com/office/drawing/2014/main" id="{4812CEC4-9F1E-4357-B3EB-066D1DD1C1D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89" name="Line 45">
          <a:extLst>
            <a:ext uri="{FF2B5EF4-FFF2-40B4-BE49-F238E27FC236}">
              <a16:creationId xmlns:a16="http://schemas.microsoft.com/office/drawing/2014/main" id="{564EA0CC-6A2A-4240-832E-11114C5A5EA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0" name="Line 46">
          <a:extLst>
            <a:ext uri="{FF2B5EF4-FFF2-40B4-BE49-F238E27FC236}">
              <a16:creationId xmlns:a16="http://schemas.microsoft.com/office/drawing/2014/main" id="{E7AE47CD-4EF6-4F39-8CF3-11D8103E21E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1" name="Line 47">
          <a:extLst>
            <a:ext uri="{FF2B5EF4-FFF2-40B4-BE49-F238E27FC236}">
              <a16:creationId xmlns:a16="http://schemas.microsoft.com/office/drawing/2014/main" id="{5AF7BF9E-892B-4121-A087-6A762AC2A9F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2" name="Line 48">
          <a:extLst>
            <a:ext uri="{FF2B5EF4-FFF2-40B4-BE49-F238E27FC236}">
              <a16:creationId xmlns:a16="http://schemas.microsoft.com/office/drawing/2014/main" id="{658BB663-1F1C-4E16-9178-648611B1C74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3" name="Line 49">
          <a:extLst>
            <a:ext uri="{FF2B5EF4-FFF2-40B4-BE49-F238E27FC236}">
              <a16:creationId xmlns:a16="http://schemas.microsoft.com/office/drawing/2014/main" id="{15C52B8C-5136-4A11-B4AB-BEBC5D93B46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194" name="Line 50">
          <a:extLst>
            <a:ext uri="{FF2B5EF4-FFF2-40B4-BE49-F238E27FC236}">
              <a16:creationId xmlns:a16="http://schemas.microsoft.com/office/drawing/2014/main" id="{0C5F7018-DD4F-4A37-8091-18B967287E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5" name="Line 1">
          <a:extLst>
            <a:ext uri="{FF2B5EF4-FFF2-40B4-BE49-F238E27FC236}">
              <a16:creationId xmlns:a16="http://schemas.microsoft.com/office/drawing/2014/main" id="{7ECB7669-7EE0-4B51-8617-0801DDC1F6D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6" name="Line 2">
          <a:extLst>
            <a:ext uri="{FF2B5EF4-FFF2-40B4-BE49-F238E27FC236}">
              <a16:creationId xmlns:a16="http://schemas.microsoft.com/office/drawing/2014/main" id="{73F51EDB-02F5-4163-88C0-E6D08012FB9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7" name="Line 5">
          <a:extLst>
            <a:ext uri="{FF2B5EF4-FFF2-40B4-BE49-F238E27FC236}">
              <a16:creationId xmlns:a16="http://schemas.microsoft.com/office/drawing/2014/main" id="{6D731CF1-DE67-46A6-B5A9-9D010EE51A0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8" name="Line 6">
          <a:extLst>
            <a:ext uri="{FF2B5EF4-FFF2-40B4-BE49-F238E27FC236}">
              <a16:creationId xmlns:a16="http://schemas.microsoft.com/office/drawing/2014/main" id="{EF83000F-C326-4ACC-A27B-ADA89335D97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199" name="Line 7">
          <a:extLst>
            <a:ext uri="{FF2B5EF4-FFF2-40B4-BE49-F238E27FC236}">
              <a16:creationId xmlns:a16="http://schemas.microsoft.com/office/drawing/2014/main" id="{BCC45563-CC67-4BEA-8CE5-1DD99551D47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0" name="Line 8">
          <a:extLst>
            <a:ext uri="{FF2B5EF4-FFF2-40B4-BE49-F238E27FC236}">
              <a16:creationId xmlns:a16="http://schemas.microsoft.com/office/drawing/2014/main" id="{8F5783B2-BF4B-4BBB-9DD1-3C55A2BA7E9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1" name="Line 9">
          <a:extLst>
            <a:ext uri="{FF2B5EF4-FFF2-40B4-BE49-F238E27FC236}">
              <a16:creationId xmlns:a16="http://schemas.microsoft.com/office/drawing/2014/main" id="{AAB93AE9-58BD-411E-9A6F-D55AC065CDBE}"/>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2" name="Line 10">
          <a:extLst>
            <a:ext uri="{FF2B5EF4-FFF2-40B4-BE49-F238E27FC236}">
              <a16:creationId xmlns:a16="http://schemas.microsoft.com/office/drawing/2014/main" id="{7801519C-BEE3-4DF4-8D12-A7C5C8E11C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3" name="Line 11">
          <a:extLst>
            <a:ext uri="{FF2B5EF4-FFF2-40B4-BE49-F238E27FC236}">
              <a16:creationId xmlns:a16="http://schemas.microsoft.com/office/drawing/2014/main" id="{DE8BBEAC-B91E-469C-B700-D227D5E02C94}"/>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4" name="Line 12">
          <a:extLst>
            <a:ext uri="{FF2B5EF4-FFF2-40B4-BE49-F238E27FC236}">
              <a16:creationId xmlns:a16="http://schemas.microsoft.com/office/drawing/2014/main" id="{E849EC51-A506-4FDA-A2FB-88E93639783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5" name="Line 13">
          <a:extLst>
            <a:ext uri="{FF2B5EF4-FFF2-40B4-BE49-F238E27FC236}">
              <a16:creationId xmlns:a16="http://schemas.microsoft.com/office/drawing/2014/main" id="{98D1BB84-A643-4303-83A8-9FF1D27F14E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6" name="Line 14">
          <a:extLst>
            <a:ext uri="{FF2B5EF4-FFF2-40B4-BE49-F238E27FC236}">
              <a16:creationId xmlns:a16="http://schemas.microsoft.com/office/drawing/2014/main" id="{5C011060-6095-4F9B-BC94-D0D1EF96773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7" name="Line 15">
          <a:extLst>
            <a:ext uri="{FF2B5EF4-FFF2-40B4-BE49-F238E27FC236}">
              <a16:creationId xmlns:a16="http://schemas.microsoft.com/office/drawing/2014/main" id="{7EAA7F2E-901C-4C19-BBE1-0AE4AAEF348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8" name="Line 16">
          <a:extLst>
            <a:ext uri="{FF2B5EF4-FFF2-40B4-BE49-F238E27FC236}">
              <a16:creationId xmlns:a16="http://schemas.microsoft.com/office/drawing/2014/main" id="{B99ED208-4B45-4927-BE8E-5BA7C4373F7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09" name="Line 17">
          <a:extLst>
            <a:ext uri="{FF2B5EF4-FFF2-40B4-BE49-F238E27FC236}">
              <a16:creationId xmlns:a16="http://schemas.microsoft.com/office/drawing/2014/main" id="{AEE3F992-97B9-4D99-8E9F-29E77367523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0" name="Line 18">
          <a:extLst>
            <a:ext uri="{FF2B5EF4-FFF2-40B4-BE49-F238E27FC236}">
              <a16:creationId xmlns:a16="http://schemas.microsoft.com/office/drawing/2014/main" id="{B600A4AD-0A1E-46F6-A92B-3078FF90637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1" name="Line 19">
          <a:extLst>
            <a:ext uri="{FF2B5EF4-FFF2-40B4-BE49-F238E27FC236}">
              <a16:creationId xmlns:a16="http://schemas.microsoft.com/office/drawing/2014/main" id="{90F2D1CF-4654-4D13-80FD-4DED29BC397C}"/>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2" name="Line 20">
          <a:extLst>
            <a:ext uri="{FF2B5EF4-FFF2-40B4-BE49-F238E27FC236}">
              <a16:creationId xmlns:a16="http://schemas.microsoft.com/office/drawing/2014/main" id="{A899293B-CA7D-414F-BC38-F3D1F25E73A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3" name="Line 21">
          <a:extLst>
            <a:ext uri="{FF2B5EF4-FFF2-40B4-BE49-F238E27FC236}">
              <a16:creationId xmlns:a16="http://schemas.microsoft.com/office/drawing/2014/main" id="{A5327B2F-DC40-4040-9DBF-BE04E2C96E1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4" name="Line 22">
          <a:extLst>
            <a:ext uri="{FF2B5EF4-FFF2-40B4-BE49-F238E27FC236}">
              <a16:creationId xmlns:a16="http://schemas.microsoft.com/office/drawing/2014/main" id="{123C458D-D76A-4968-A147-FF0E51ECD21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5" name="Line 23">
          <a:extLst>
            <a:ext uri="{FF2B5EF4-FFF2-40B4-BE49-F238E27FC236}">
              <a16:creationId xmlns:a16="http://schemas.microsoft.com/office/drawing/2014/main" id="{83EFAE25-EF42-47EE-A4E6-D69D7B540D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6" name="Line 24">
          <a:extLst>
            <a:ext uri="{FF2B5EF4-FFF2-40B4-BE49-F238E27FC236}">
              <a16:creationId xmlns:a16="http://schemas.microsoft.com/office/drawing/2014/main" id="{DBFB1A4A-759A-49B3-BF18-2C71FD41C38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7" name="Line 25">
          <a:extLst>
            <a:ext uri="{FF2B5EF4-FFF2-40B4-BE49-F238E27FC236}">
              <a16:creationId xmlns:a16="http://schemas.microsoft.com/office/drawing/2014/main" id="{BCDE9B2B-588B-4F12-8039-336CA53FB04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8" name="Line 26">
          <a:extLst>
            <a:ext uri="{FF2B5EF4-FFF2-40B4-BE49-F238E27FC236}">
              <a16:creationId xmlns:a16="http://schemas.microsoft.com/office/drawing/2014/main" id="{5EB6A59B-4E88-4EE6-BFCE-129CEDA0E1C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19" name="Line 27">
          <a:extLst>
            <a:ext uri="{FF2B5EF4-FFF2-40B4-BE49-F238E27FC236}">
              <a16:creationId xmlns:a16="http://schemas.microsoft.com/office/drawing/2014/main" id="{4DA060A7-D0A7-43CC-9752-9B7F1383B36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0" name="Line 28">
          <a:extLst>
            <a:ext uri="{FF2B5EF4-FFF2-40B4-BE49-F238E27FC236}">
              <a16:creationId xmlns:a16="http://schemas.microsoft.com/office/drawing/2014/main" id="{BE833BCD-A5B4-400E-AED0-B8C5B060760A}"/>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1" name="Line 29">
          <a:extLst>
            <a:ext uri="{FF2B5EF4-FFF2-40B4-BE49-F238E27FC236}">
              <a16:creationId xmlns:a16="http://schemas.microsoft.com/office/drawing/2014/main" id="{3216AA74-8B1B-4875-8128-97E2978E3672}"/>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2" name="Line 30">
          <a:extLst>
            <a:ext uri="{FF2B5EF4-FFF2-40B4-BE49-F238E27FC236}">
              <a16:creationId xmlns:a16="http://schemas.microsoft.com/office/drawing/2014/main" id="{D97EFE5A-4F1A-4741-AD56-FE9F07ACAAC6}"/>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3" name="Line 31">
          <a:extLst>
            <a:ext uri="{FF2B5EF4-FFF2-40B4-BE49-F238E27FC236}">
              <a16:creationId xmlns:a16="http://schemas.microsoft.com/office/drawing/2014/main" id="{C2ABE847-10A1-482D-9922-833AF63A6EC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4" name="Line 32">
          <a:extLst>
            <a:ext uri="{FF2B5EF4-FFF2-40B4-BE49-F238E27FC236}">
              <a16:creationId xmlns:a16="http://schemas.microsoft.com/office/drawing/2014/main" id="{544B05C1-2315-4606-83CE-D3AA33904EC1}"/>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5" name="Line 33">
          <a:extLst>
            <a:ext uri="{FF2B5EF4-FFF2-40B4-BE49-F238E27FC236}">
              <a16:creationId xmlns:a16="http://schemas.microsoft.com/office/drawing/2014/main" id="{08DE4D92-F3B5-4A8D-B700-E3D50C1B19EF}"/>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6" name="Line 34">
          <a:extLst>
            <a:ext uri="{FF2B5EF4-FFF2-40B4-BE49-F238E27FC236}">
              <a16:creationId xmlns:a16="http://schemas.microsoft.com/office/drawing/2014/main" id="{7CFF5D8E-66D9-4BF4-8992-8E2E0B9AB2CD}"/>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7" name="Line 35">
          <a:extLst>
            <a:ext uri="{FF2B5EF4-FFF2-40B4-BE49-F238E27FC236}">
              <a16:creationId xmlns:a16="http://schemas.microsoft.com/office/drawing/2014/main" id="{1FEECE93-56D5-42BD-9F17-9D7027155463}"/>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8" name="Line 36">
          <a:extLst>
            <a:ext uri="{FF2B5EF4-FFF2-40B4-BE49-F238E27FC236}">
              <a16:creationId xmlns:a16="http://schemas.microsoft.com/office/drawing/2014/main" id="{4B42CBB4-EB8E-4D8A-99AA-3D6DA538674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29" name="Line 37">
          <a:extLst>
            <a:ext uri="{FF2B5EF4-FFF2-40B4-BE49-F238E27FC236}">
              <a16:creationId xmlns:a16="http://schemas.microsoft.com/office/drawing/2014/main" id="{54EA43A3-7D9F-454C-ACC4-998456663C8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0" name="Line 38">
          <a:extLst>
            <a:ext uri="{FF2B5EF4-FFF2-40B4-BE49-F238E27FC236}">
              <a16:creationId xmlns:a16="http://schemas.microsoft.com/office/drawing/2014/main" id="{DFFDD01D-7213-4783-8518-4548ABF74F3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1" name="Line 39">
          <a:extLst>
            <a:ext uri="{FF2B5EF4-FFF2-40B4-BE49-F238E27FC236}">
              <a16:creationId xmlns:a16="http://schemas.microsoft.com/office/drawing/2014/main" id="{F3A5B725-C68E-4B20-BEC8-8FCEB487454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2" name="Line 40">
          <a:extLst>
            <a:ext uri="{FF2B5EF4-FFF2-40B4-BE49-F238E27FC236}">
              <a16:creationId xmlns:a16="http://schemas.microsoft.com/office/drawing/2014/main" id="{AD8C554C-32CE-4515-9D21-A6E910E25B4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3" name="Line 41">
          <a:extLst>
            <a:ext uri="{FF2B5EF4-FFF2-40B4-BE49-F238E27FC236}">
              <a16:creationId xmlns:a16="http://schemas.microsoft.com/office/drawing/2014/main" id="{AB56CEC3-C67F-40F1-B248-EEFA3A86ADA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4" name="Line 42">
          <a:extLst>
            <a:ext uri="{FF2B5EF4-FFF2-40B4-BE49-F238E27FC236}">
              <a16:creationId xmlns:a16="http://schemas.microsoft.com/office/drawing/2014/main" id="{100CBD78-69C8-480E-9CEF-57A17B35EB67}"/>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5" name="Line 43">
          <a:extLst>
            <a:ext uri="{FF2B5EF4-FFF2-40B4-BE49-F238E27FC236}">
              <a16:creationId xmlns:a16="http://schemas.microsoft.com/office/drawing/2014/main" id="{B9DF1C26-C033-4300-BAD8-6C955FFCB25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6" name="Line 44">
          <a:extLst>
            <a:ext uri="{FF2B5EF4-FFF2-40B4-BE49-F238E27FC236}">
              <a16:creationId xmlns:a16="http://schemas.microsoft.com/office/drawing/2014/main" id="{0D91793C-CAAC-423B-894C-A9940F454D0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7" name="Line 45">
          <a:extLst>
            <a:ext uri="{FF2B5EF4-FFF2-40B4-BE49-F238E27FC236}">
              <a16:creationId xmlns:a16="http://schemas.microsoft.com/office/drawing/2014/main" id="{BA454C28-7771-46E7-93D0-E97F0DB7CA49}"/>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8" name="Line 46">
          <a:extLst>
            <a:ext uri="{FF2B5EF4-FFF2-40B4-BE49-F238E27FC236}">
              <a16:creationId xmlns:a16="http://schemas.microsoft.com/office/drawing/2014/main" id="{C242DD80-52ED-4270-9ECC-81C7E6980DFB}"/>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39" name="Line 47">
          <a:extLst>
            <a:ext uri="{FF2B5EF4-FFF2-40B4-BE49-F238E27FC236}">
              <a16:creationId xmlns:a16="http://schemas.microsoft.com/office/drawing/2014/main" id="{454DA23E-35F7-4C8D-8950-0D63EF86FDA8}"/>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0" name="Line 48">
          <a:extLst>
            <a:ext uri="{FF2B5EF4-FFF2-40B4-BE49-F238E27FC236}">
              <a16:creationId xmlns:a16="http://schemas.microsoft.com/office/drawing/2014/main" id="{8FC868C8-7E0C-48C1-B5C3-6CD7C1EB8E0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1" name="Line 49">
          <a:extLst>
            <a:ext uri="{FF2B5EF4-FFF2-40B4-BE49-F238E27FC236}">
              <a16:creationId xmlns:a16="http://schemas.microsoft.com/office/drawing/2014/main" id="{4D57B135-703B-49C3-AF54-56F997762A40}"/>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129</xdr:col>
      <xdr:colOff>0</xdr:colOff>
      <xdr:row>5</xdr:row>
      <xdr:rowOff>0</xdr:rowOff>
    </xdr:from>
    <xdr:to>
      <xdr:col>129</xdr:col>
      <xdr:colOff>0</xdr:colOff>
      <xdr:row>5</xdr:row>
      <xdr:rowOff>0</xdr:rowOff>
    </xdr:to>
    <xdr:sp macro="" textlink="">
      <xdr:nvSpPr>
        <xdr:cNvPr id="242" name="Line 50">
          <a:extLst>
            <a:ext uri="{FF2B5EF4-FFF2-40B4-BE49-F238E27FC236}">
              <a16:creationId xmlns:a16="http://schemas.microsoft.com/office/drawing/2014/main" id="{49F38924-9201-4CA2-9F64-F82B605F4915}"/>
            </a:ext>
          </a:extLst>
        </xdr:cNvPr>
        <xdr:cNvSpPr>
          <a:spLocks noChangeShapeType="1"/>
        </xdr:cNvSpPr>
      </xdr:nvSpPr>
      <xdr:spPr bwMode="auto">
        <a:xfrm flipV="1">
          <a:off x="5623560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3" name="Line 1">
          <a:extLst>
            <a:ext uri="{FF2B5EF4-FFF2-40B4-BE49-F238E27FC236}">
              <a16:creationId xmlns:a16="http://schemas.microsoft.com/office/drawing/2014/main" id="{393F272E-931B-4D00-BACD-BA024C8FA5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4" name="Line 2">
          <a:extLst>
            <a:ext uri="{FF2B5EF4-FFF2-40B4-BE49-F238E27FC236}">
              <a16:creationId xmlns:a16="http://schemas.microsoft.com/office/drawing/2014/main" id="{6719A753-522B-4122-B53F-203BB214466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5" name="Line 5">
          <a:extLst>
            <a:ext uri="{FF2B5EF4-FFF2-40B4-BE49-F238E27FC236}">
              <a16:creationId xmlns:a16="http://schemas.microsoft.com/office/drawing/2014/main" id="{AC332BCB-7F4B-4B34-A23C-F2BAFBC8202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6" name="Line 6">
          <a:extLst>
            <a:ext uri="{FF2B5EF4-FFF2-40B4-BE49-F238E27FC236}">
              <a16:creationId xmlns:a16="http://schemas.microsoft.com/office/drawing/2014/main" id="{AC07170E-8DBB-4F67-8295-3B38C2F00F4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7" name="Line 7">
          <a:extLst>
            <a:ext uri="{FF2B5EF4-FFF2-40B4-BE49-F238E27FC236}">
              <a16:creationId xmlns:a16="http://schemas.microsoft.com/office/drawing/2014/main" id="{1C48EBCC-AC08-490E-A337-98FF8000789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8" name="Line 8">
          <a:extLst>
            <a:ext uri="{FF2B5EF4-FFF2-40B4-BE49-F238E27FC236}">
              <a16:creationId xmlns:a16="http://schemas.microsoft.com/office/drawing/2014/main" id="{20BFF7D0-20C7-4FF8-91A8-35B46C6F337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49" name="Line 9">
          <a:extLst>
            <a:ext uri="{FF2B5EF4-FFF2-40B4-BE49-F238E27FC236}">
              <a16:creationId xmlns:a16="http://schemas.microsoft.com/office/drawing/2014/main" id="{9E652B47-C518-45F8-BA4A-C1B4C69FEC9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0" name="Line 10">
          <a:extLst>
            <a:ext uri="{FF2B5EF4-FFF2-40B4-BE49-F238E27FC236}">
              <a16:creationId xmlns:a16="http://schemas.microsoft.com/office/drawing/2014/main" id="{E52EB660-75F5-45F2-9E36-B7C3C0D15C2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1" name="Line 11">
          <a:extLst>
            <a:ext uri="{FF2B5EF4-FFF2-40B4-BE49-F238E27FC236}">
              <a16:creationId xmlns:a16="http://schemas.microsoft.com/office/drawing/2014/main" id="{19C71970-917C-484C-8C79-B871B53D7162}"/>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2" name="Line 12">
          <a:extLst>
            <a:ext uri="{FF2B5EF4-FFF2-40B4-BE49-F238E27FC236}">
              <a16:creationId xmlns:a16="http://schemas.microsoft.com/office/drawing/2014/main" id="{9F8E800A-BC61-45FC-82AA-D8BCCC0E35D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3" name="Line 13">
          <a:extLst>
            <a:ext uri="{FF2B5EF4-FFF2-40B4-BE49-F238E27FC236}">
              <a16:creationId xmlns:a16="http://schemas.microsoft.com/office/drawing/2014/main" id="{F148F5D6-8B0A-4815-BB84-FA6C8CB7E20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4" name="Line 14">
          <a:extLst>
            <a:ext uri="{FF2B5EF4-FFF2-40B4-BE49-F238E27FC236}">
              <a16:creationId xmlns:a16="http://schemas.microsoft.com/office/drawing/2014/main" id="{898F04D6-F540-4901-8CFF-5734CA67547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5" name="Line 15">
          <a:extLst>
            <a:ext uri="{FF2B5EF4-FFF2-40B4-BE49-F238E27FC236}">
              <a16:creationId xmlns:a16="http://schemas.microsoft.com/office/drawing/2014/main" id="{98FA7024-7A02-483D-A7E1-AAEC1CBC59A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6" name="Line 16">
          <a:extLst>
            <a:ext uri="{FF2B5EF4-FFF2-40B4-BE49-F238E27FC236}">
              <a16:creationId xmlns:a16="http://schemas.microsoft.com/office/drawing/2014/main" id="{0DF4FD1E-691E-48FA-AD04-8ADC1ED6904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7" name="Line 17">
          <a:extLst>
            <a:ext uri="{FF2B5EF4-FFF2-40B4-BE49-F238E27FC236}">
              <a16:creationId xmlns:a16="http://schemas.microsoft.com/office/drawing/2014/main" id="{AD810BC4-54DB-43C3-9309-1C9F1C04E99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8" name="Line 18">
          <a:extLst>
            <a:ext uri="{FF2B5EF4-FFF2-40B4-BE49-F238E27FC236}">
              <a16:creationId xmlns:a16="http://schemas.microsoft.com/office/drawing/2014/main" id="{0311E479-BD8B-431A-8672-F9C4CB195F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59" name="Line 19">
          <a:extLst>
            <a:ext uri="{FF2B5EF4-FFF2-40B4-BE49-F238E27FC236}">
              <a16:creationId xmlns:a16="http://schemas.microsoft.com/office/drawing/2014/main" id="{E8D6B8E3-6C8F-4A17-8CDD-E50CBB9B7CF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0" name="Line 20">
          <a:extLst>
            <a:ext uri="{FF2B5EF4-FFF2-40B4-BE49-F238E27FC236}">
              <a16:creationId xmlns:a16="http://schemas.microsoft.com/office/drawing/2014/main" id="{C280E2AD-A7AC-449D-A8A8-3B3A715AF04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1" name="Line 21">
          <a:extLst>
            <a:ext uri="{FF2B5EF4-FFF2-40B4-BE49-F238E27FC236}">
              <a16:creationId xmlns:a16="http://schemas.microsoft.com/office/drawing/2014/main" id="{2D43619F-1A60-429B-9F84-DC6AF7072DD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2" name="Line 22">
          <a:extLst>
            <a:ext uri="{FF2B5EF4-FFF2-40B4-BE49-F238E27FC236}">
              <a16:creationId xmlns:a16="http://schemas.microsoft.com/office/drawing/2014/main" id="{C405917F-5F63-41A1-B280-A5DFAAABF9F5}"/>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3" name="Line 23">
          <a:extLst>
            <a:ext uri="{FF2B5EF4-FFF2-40B4-BE49-F238E27FC236}">
              <a16:creationId xmlns:a16="http://schemas.microsoft.com/office/drawing/2014/main" id="{E39A7785-99A5-48C9-A2BA-6E2BBD04B627}"/>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4" name="Line 24">
          <a:extLst>
            <a:ext uri="{FF2B5EF4-FFF2-40B4-BE49-F238E27FC236}">
              <a16:creationId xmlns:a16="http://schemas.microsoft.com/office/drawing/2014/main" id="{0A9AB5C4-3FD8-4FA9-8B22-A16D69C51F3D}"/>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5" name="Line 25">
          <a:extLst>
            <a:ext uri="{FF2B5EF4-FFF2-40B4-BE49-F238E27FC236}">
              <a16:creationId xmlns:a16="http://schemas.microsoft.com/office/drawing/2014/main" id="{01692DFF-C33C-477D-AA88-9A6DDA324B7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6" name="Line 26">
          <a:extLst>
            <a:ext uri="{FF2B5EF4-FFF2-40B4-BE49-F238E27FC236}">
              <a16:creationId xmlns:a16="http://schemas.microsoft.com/office/drawing/2014/main" id="{40249750-9B75-4947-AD82-AF1B3395F55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7" name="Line 27">
          <a:extLst>
            <a:ext uri="{FF2B5EF4-FFF2-40B4-BE49-F238E27FC236}">
              <a16:creationId xmlns:a16="http://schemas.microsoft.com/office/drawing/2014/main" id="{8282C4A4-5117-4F70-BBFE-A72CEA4938F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8" name="Line 28">
          <a:extLst>
            <a:ext uri="{FF2B5EF4-FFF2-40B4-BE49-F238E27FC236}">
              <a16:creationId xmlns:a16="http://schemas.microsoft.com/office/drawing/2014/main" id="{1D3FE04C-6A48-4D01-97A8-F438CC816E0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69" name="Line 29">
          <a:extLst>
            <a:ext uri="{FF2B5EF4-FFF2-40B4-BE49-F238E27FC236}">
              <a16:creationId xmlns:a16="http://schemas.microsoft.com/office/drawing/2014/main" id="{AB844A11-9967-482F-A845-055B981AF9A9}"/>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0" name="Line 30">
          <a:extLst>
            <a:ext uri="{FF2B5EF4-FFF2-40B4-BE49-F238E27FC236}">
              <a16:creationId xmlns:a16="http://schemas.microsoft.com/office/drawing/2014/main" id="{ABD9AA83-A4E5-4840-821E-18A19F0A218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1" name="Line 31">
          <a:extLst>
            <a:ext uri="{FF2B5EF4-FFF2-40B4-BE49-F238E27FC236}">
              <a16:creationId xmlns:a16="http://schemas.microsoft.com/office/drawing/2014/main" id="{90EA3E9D-BA59-4449-81AF-A7CE05DB901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2" name="Line 32">
          <a:extLst>
            <a:ext uri="{FF2B5EF4-FFF2-40B4-BE49-F238E27FC236}">
              <a16:creationId xmlns:a16="http://schemas.microsoft.com/office/drawing/2014/main" id="{E3EB47DD-4096-4FD0-B8FE-796B192AF5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3" name="Line 33">
          <a:extLst>
            <a:ext uri="{FF2B5EF4-FFF2-40B4-BE49-F238E27FC236}">
              <a16:creationId xmlns:a16="http://schemas.microsoft.com/office/drawing/2014/main" id="{F3C24FBC-9E70-4EC1-AE51-764D2BE7EF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4" name="Line 34">
          <a:extLst>
            <a:ext uri="{FF2B5EF4-FFF2-40B4-BE49-F238E27FC236}">
              <a16:creationId xmlns:a16="http://schemas.microsoft.com/office/drawing/2014/main" id="{E2B6D788-8758-4CEE-ADE5-68E1F07C3728}"/>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5" name="Line 35">
          <a:extLst>
            <a:ext uri="{FF2B5EF4-FFF2-40B4-BE49-F238E27FC236}">
              <a16:creationId xmlns:a16="http://schemas.microsoft.com/office/drawing/2014/main" id="{9E4BE693-7E6A-44A6-944A-9DBFF72F11E0}"/>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6" name="Line 36">
          <a:extLst>
            <a:ext uri="{FF2B5EF4-FFF2-40B4-BE49-F238E27FC236}">
              <a16:creationId xmlns:a16="http://schemas.microsoft.com/office/drawing/2014/main" id="{F46983B2-2F69-4B76-8ACB-168CA51F11A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7" name="Line 37">
          <a:extLst>
            <a:ext uri="{FF2B5EF4-FFF2-40B4-BE49-F238E27FC236}">
              <a16:creationId xmlns:a16="http://schemas.microsoft.com/office/drawing/2014/main" id="{FF168DB8-D427-4663-AEDC-FAB0BB048DA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8" name="Line 38">
          <a:extLst>
            <a:ext uri="{FF2B5EF4-FFF2-40B4-BE49-F238E27FC236}">
              <a16:creationId xmlns:a16="http://schemas.microsoft.com/office/drawing/2014/main" id="{A63921A4-A6E4-48D2-B8EE-5900FC4A18A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79" name="Line 39">
          <a:extLst>
            <a:ext uri="{FF2B5EF4-FFF2-40B4-BE49-F238E27FC236}">
              <a16:creationId xmlns:a16="http://schemas.microsoft.com/office/drawing/2014/main" id="{857174DD-83BC-4500-9549-38A0BC6F31D4}"/>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0" name="Line 40">
          <a:extLst>
            <a:ext uri="{FF2B5EF4-FFF2-40B4-BE49-F238E27FC236}">
              <a16:creationId xmlns:a16="http://schemas.microsoft.com/office/drawing/2014/main" id="{69BFCD7C-9A9C-409B-83E4-A922EBED85E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1" name="Line 41">
          <a:extLst>
            <a:ext uri="{FF2B5EF4-FFF2-40B4-BE49-F238E27FC236}">
              <a16:creationId xmlns:a16="http://schemas.microsoft.com/office/drawing/2014/main" id="{0AC39CF1-BBCC-4FD0-9E02-1CCA778C9A9F}"/>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2" name="Line 42">
          <a:extLst>
            <a:ext uri="{FF2B5EF4-FFF2-40B4-BE49-F238E27FC236}">
              <a16:creationId xmlns:a16="http://schemas.microsoft.com/office/drawing/2014/main" id="{C05E0984-8D5A-4BB4-953D-B5B549EF1C41}"/>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3" name="Line 43">
          <a:extLst>
            <a:ext uri="{FF2B5EF4-FFF2-40B4-BE49-F238E27FC236}">
              <a16:creationId xmlns:a16="http://schemas.microsoft.com/office/drawing/2014/main" id="{0301E98D-54E6-4C36-B3CC-CC98C68C9C7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4" name="Line 44">
          <a:extLst>
            <a:ext uri="{FF2B5EF4-FFF2-40B4-BE49-F238E27FC236}">
              <a16:creationId xmlns:a16="http://schemas.microsoft.com/office/drawing/2014/main" id="{65F067A0-895E-49CB-B77C-6DFF4A91B92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5" name="Line 45">
          <a:extLst>
            <a:ext uri="{FF2B5EF4-FFF2-40B4-BE49-F238E27FC236}">
              <a16:creationId xmlns:a16="http://schemas.microsoft.com/office/drawing/2014/main" id="{C2412062-84EC-45C8-8092-85BC671509BA}"/>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6" name="Line 46">
          <a:extLst>
            <a:ext uri="{FF2B5EF4-FFF2-40B4-BE49-F238E27FC236}">
              <a16:creationId xmlns:a16="http://schemas.microsoft.com/office/drawing/2014/main" id="{0E4C0F9F-6D4E-47D1-A834-E0B9E401B4FB}"/>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7" name="Line 47">
          <a:extLst>
            <a:ext uri="{FF2B5EF4-FFF2-40B4-BE49-F238E27FC236}">
              <a16:creationId xmlns:a16="http://schemas.microsoft.com/office/drawing/2014/main" id="{E9090C00-1212-42B1-8139-84CA52114E6E}"/>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8" name="Line 48">
          <a:extLst>
            <a:ext uri="{FF2B5EF4-FFF2-40B4-BE49-F238E27FC236}">
              <a16:creationId xmlns:a16="http://schemas.microsoft.com/office/drawing/2014/main" id="{288B17BF-58DE-4522-AAA6-3494E9177E76}"/>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89" name="Line 49">
          <a:extLst>
            <a:ext uri="{FF2B5EF4-FFF2-40B4-BE49-F238E27FC236}">
              <a16:creationId xmlns:a16="http://schemas.microsoft.com/office/drawing/2014/main" id="{6323EB56-B290-4FDC-9F2F-207507A4B2EC}"/>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twoCellAnchor>
    <xdr:from>
      <xdr:col>184</xdr:col>
      <xdr:colOff>0</xdr:colOff>
      <xdr:row>5</xdr:row>
      <xdr:rowOff>0</xdr:rowOff>
    </xdr:from>
    <xdr:to>
      <xdr:col>184</xdr:col>
      <xdr:colOff>0</xdr:colOff>
      <xdr:row>5</xdr:row>
      <xdr:rowOff>0</xdr:rowOff>
    </xdr:to>
    <xdr:sp macro="" textlink="">
      <xdr:nvSpPr>
        <xdr:cNvPr id="290" name="Line 50">
          <a:extLst>
            <a:ext uri="{FF2B5EF4-FFF2-40B4-BE49-F238E27FC236}">
              <a16:creationId xmlns:a16="http://schemas.microsoft.com/office/drawing/2014/main" id="{BC4296E6-8C18-4F94-8955-78146293AC43}"/>
            </a:ext>
          </a:extLst>
        </xdr:cNvPr>
        <xdr:cNvSpPr>
          <a:spLocks noChangeShapeType="1"/>
        </xdr:cNvSpPr>
      </xdr:nvSpPr>
      <xdr:spPr bwMode="auto">
        <a:xfrm flipV="1">
          <a:off x="79762350" y="1590675"/>
          <a:ext cx="0" cy="0"/>
        </a:xfrm>
        <a:prstGeom prst="line">
          <a:avLst/>
        </a:prstGeom>
        <a:noFill/>
        <a:ln w="1">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showGridLines="0" tabSelected="1" workbookViewId="0">
      <selection sqref="A1:E1"/>
    </sheetView>
  </sheetViews>
  <sheetFormatPr defaultColWidth="8" defaultRowHeight="30" customHeight="1"/>
  <cols>
    <col min="1" max="1" width="35" style="1688" customWidth="1"/>
    <col min="2" max="4" width="9.28515625" style="1687" customWidth="1"/>
    <col min="5" max="5" width="35" style="1687" customWidth="1"/>
    <col min="6" max="16384" width="8" style="1687"/>
  </cols>
  <sheetData>
    <row r="1" spans="1:11" ht="33" customHeight="1">
      <c r="A1" s="1693" t="s">
        <v>927</v>
      </c>
      <c r="B1" s="1693"/>
      <c r="C1" s="1693"/>
      <c r="D1" s="1693"/>
      <c r="E1" s="1693"/>
      <c r="J1" s="1695"/>
      <c r="K1" s="1694" t="s">
        <v>926</v>
      </c>
    </row>
    <row r="2" spans="1:11" ht="33" customHeight="1">
      <c r="A2" s="1693" t="s">
        <v>928</v>
      </c>
      <c r="B2" s="1693"/>
      <c r="C2" s="1693"/>
      <c r="D2" s="1693"/>
      <c r="E2" s="1693"/>
    </row>
    <row r="3" spans="1:11" ht="33" customHeight="1">
      <c r="A3" s="1693" t="s">
        <v>929</v>
      </c>
      <c r="B3" s="1693"/>
      <c r="C3" s="1693"/>
      <c r="D3" s="1693"/>
      <c r="E3" s="1693"/>
    </row>
    <row r="4" spans="1:11" ht="33" customHeight="1">
      <c r="A4" s="1693" t="s">
        <v>930</v>
      </c>
      <c r="B4" s="1693"/>
      <c r="C4" s="1693"/>
      <c r="D4" s="1693"/>
      <c r="E4" s="1693"/>
    </row>
    <row r="5" spans="1:11" ht="33" customHeight="1"/>
    <row r="6" spans="1:11" ht="33" customHeight="1"/>
    <row r="7" spans="1:11" ht="33" customHeight="1"/>
    <row r="8" spans="1:11" ht="33" customHeight="1">
      <c r="A8" s="1696">
        <v>42856</v>
      </c>
      <c r="B8" s="1692"/>
      <c r="C8" s="1692"/>
      <c r="D8" s="1692"/>
      <c r="E8" s="1692"/>
    </row>
    <row r="9" spans="1:11" ht="33" customHeight="1"/>
    <row r="10" spans="1:11" ht="33" customHeight="1">
      <c r="A10" s="1691" t="s">
        <v>931</v>
      </c>
      <c r="B10" s="1691"/>
      <c r="C10" s="1691"/>
      <c r="D10" s="1691"/>
      <c r="E10" s="1691"/>
    </row>
    <row r="11" spans="1:11" ht="33" customHeight="1">
      <c r="A11" s="1691"/>
      <c r="B11" s="1691"/>
      <c r="C11" s="1691"/>
      <c r="D11" s="1691"/>
      <c r="E11" s="1691"/>
    </row>
    <row r="12" spans="1:11" ht="33" customHeight="1">
      <c r="A12" s="1691"/>
      <c r="B12" s="1691"/>
      <c r="C12" s="1691"/>
      <c r="D12" s="1691"/>
      <c r="E12" s="1691"/>
    </row>
    <row r="13" spans="1:11" ht="30" customHeight="1">
      <c r="A13" s="1690"/>
      <c r="B13" s="1689"/>
      <c r="C13" s="1689"/>
      <c r="D13" s="1689"/>
      <c r="E13" s="1689"/>
    </row>
    <row r="14" spans="1:11" ht="30" customHeight="1">
      <c r="A14" s="1690"/>
      <c r="B14" s="1689"/>
      <c r="C14" s="1689"/>
      <c r="D14" s="1689"/>
      <c r="E14" s="1689"/>
    </row>
  </sheetData>
  <sheetProtection algorithmName="SHA-512" hashValue="916W3f3l2bz7OEiJ84pCNrIAbJbSzANIW2MEqZJ8/IoN4z99HSF+ZJdYS2B2HcFoZak+gqzfNJ4+su7kkqjSdg==" saltValue="VklLX/iuoMm1hrKPA+XlpQ==" spinCount="100000" sheet="1" scenarios="1" insertRows="0" deleteRows="0" sort="0" autoFilter="0"/>
  <mergeCells count="8">
    <mergeCell ref="A8:E8"/>
    <mergeCell ref="A10:E10"/>
    <mergeCell ref="A12:E12"/>
    <mergeCell ref="A1:E1"/>
    <mergeCell ref="A2:E2"/>
    <mergeCell ref="A3:E3"/>
    <mergeCell ref="A4:E4"/>
    <mergeCell ref="A11:E11"/>
  </mergeCells>
  <phoneticPr fontId="3"/>
  <printOptions horizontalCentered="1" verticalCentered="1"/>
  <pageMargins left="0.78740157480314965" right="0.78740157480314965" top="1.29" bottom="0.44" header="0.51181102362204722" footer="0.32"/>
  <pageSetup paperSize="9" orientation="landscape" horizontalDpi="400" verticalDpi="4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M304"/>
  <sheetViews>
    <sheetView showGridLines="0" workbookViewId="0">
      <selection sqref="A1:E1"/>
    </sheetView>
  </sheetViews>
  <sheetFormatPr defaultColWidth="8.5703125" defaultRowHeight="13.5" customHeight="1"/>
  <cols>
    <col min="1" max="1" width="20.140625" style="294" customWidth="1"/>
    <col min="2" max="2" width="3" style="354" customWidth="1"/>
    <col min="3" max="3" width="23.5703125" style="294" customWidth="1"/>
    <col min="4" max="4" width="7.140625" style="355" customWidth="1"/>
    <col min="5" max="6" width="10.5703125" style="356" customWidth="1"/>
    <col min="7" max="7" width="20.140625" style="294" customWidth="1"/>
    <col min="8" max="8" width="3" style="354" customWidth="1"/>
    <col min="9" max="9" width="23.5703125" style="294" customWidth="1"/>
    <col min="10" max="10" width="7.140625" style="355" customWidth="1"/>
    <col min="11" max="12" width="10.5703125" style="356" customWidth="1"/>
    <col min="13" max="16384" width="8.5703125" style="294"/>
  </cols>
  <sheetData>
    <row r="1" spans="1:13" s="289" customFormat="1" ht="18" customHeight="1">
      <c r="A1" s="285" t="s">
        <v>201</v>
      </c>
      <c r="B1" s="286"/>
      <c r="C1" s="286"/>
      <c r="D1" s="286"/>
      <c r="E1" s="286"/>
      <c r="F1" s="286"/>
      <c r="G1" s="286"/>
      <c r="H1" s="287"/>
      <c r="I1" s="287"/>
      <c r="J1" s="286"/>
      <c r="K1" s="286"/>
      <c r="L1" s="288"/>
    </row>
    <row r="2" spans="1:13" ht="6.95" customHeight="1">
      <c r="A2" s="290"/>
      <c r="B2" s="291"/>
      <c r="C2" s="290"/>
      <c r="D2" s="292"/>
      <c r="E2" s="293"/>
      <c r="F2" s="293"/>
      <c r="G2" s="290"/>
      <c r="H2" s="291"/>
      <c r="I2" s="290"/>
      <c r="J2" s="292"/>
      <c r="K2" s="293"/>
      <c r="L2" s="293"/>
    </row>
    <row r="3" spans="1:13" ht="13.5" customHeight="1">
      <c r="A3" s="295" t="s">
        <v>202</v>
      </c>
      <c r="B3" s="296" t="s">
        <v>203</v>
      </c>
      <c r="C3" s="297" t="s">
        <v>204</v>
      </c>
      <c r="D3" s="298" t="s">
        <v>205</v>
      </c>
      <c r="E3" s="299" t="s">
        <v>206</v>
      </c>
      <c r="F3" s="300" t="s">
        <v>207</v>
      </c>
      <c r="G3" s="295" t="s">
        <v>202</v>
      </c>
      <c r="H3" s="296" t="s">
        <v>203</v>
      </c>
      <c r="I3" s="297" t="s">
        <v>204</v>
      </c>
      <c r="J3" s="298" t="s">
        <v>208</v>
      </c>
      <c r="K3" s="299" t="s">
        <v>209</v>
      </c>
      <c r="L3" s="301" t="s">
        <v>210</v>
      </c>
    </row>
    <row r="4" spans="1:13" ht="13.5" customHeight="1">
      <c r="A4" s="302"/>
      <c r="B4" s="303"/>
      <c r="C4" s="304"/>
      <c r="D4" s="305"/>
      <c r="E4" s="306"/>
      <c r="F4" s="307"/>
      <c r="G4" s="302"/>
      <c r="H4" s="308"/>
      <c r="I4" s="304"/>
      <c r="J4" s="305"/>
      <c r="K4" s="306"/>
      <c r="L4" s="309"/>
    </row>
    <row r="5" spans="1:13" ht="13.5" customHeight="1">
      <c r="A5" s="302"/>
      <c r="B5" s="303"/>
      <c r="C5" s="304"/>
      <c r="D5" s="305"/>
      <c r="E5" s="306"/>
      <c r="F5" s="307"/>
      <c r="G5" s="302"/>
      <c r="H5" s="308"/>
      <c r="I5" s="304"/>
      <c r="J5" s="305"/>
      <c r="K5" s="306"/>
      <c r="L5" s="309"/>
    </row>
    <row r="6" spans="1:13" ht="13.5" customHeight="1">
      <c r="A6" s="310" t="s">
        <v>212</v>
      </c>
      <c r="B6" s="311"/>
      <c r="C6" s="312" t="s">
        <v>216</v>
      </c>
      <c r="D6" s="358" t="s">
        <v>217</v>
      </c>
      <c r="E6" s="313" t="s">
        <v>218</v>
      </c>
      <c r="F6" s="314">
        <v>4.2999999999999997E-2</v>
      </c>
      <c r="G6" s="310" t="s">
        <v>235</v>
      </c>
      <c r="H6" s="311"/>
      <c r="I6" s="312" t="s">
        <v>224</v>
      </c>
      <c r="J6" s="358" t="s">
        <v>217</v>
      </c>
      <c r="K6" s="313" t="s">
        <v>225</v>
      </c>
      <c r="L6" s="314">
        <v>0.111</v>
      </c>
      <c r="M6" s="357" t="s">
        <v>211</v>
      </c>
    </row>
    <row r="7" spans="1:13" ht="13.5" customHeight="1">
      <c r="A7" s="315" t="s">
        <v>213</v>
      </c>
      <c r="B7" s="316">
        <v>1</v>
      </c>
      <c r="C7" s="317" t="s">
        <v>219</v>
      </c>
      <c r="D7" s="318">
        <v>9.9999997764825821E-3</v>
      </c>
      <c r="E7" s="319">
        <v>1.3</v>
      </c>
      <c r="F7" s="320">
        <v>8.0000000000000002E-3</v>
      </c>
      <c r="G7" s="315" t="s">
        <v>236</v>
      </c>
      <c r="H7" s="316">
        <v>1</v>
      </c>
      <c r="I7" s="317" t="s">
        <v>237</v>
      </c>
      <c r="J7" s="318">
        <v>1.9999999552965164E-2</v>
      </c>
      <c r="K7" s="319">
        <v>1.5</v>
      </c>
      <c r="L7" s="320">
        <v>1.2999999999999999E-2</v>
      </c>
    </row>
    <row r="8" spans="1:13" ht="13.5" customHeight="1">
      <c r="A8" s="315" t="s">
        <v>214</v>
      </c>
      <c r="B8" s="316">
        <v>2</v>
      </c>
      <c r="C8" s="317" t="s">
        <v>220</v>
      </c>
      <c r="D8" s="318">
        <v>2.500000037252903E-2</v>
      </c>
      <c r="E8" s="319">
        <v>1.6</v>
      </c>
      <c r="F8" s="320">
        <v>1.6E-2</v>
      </c>
      <c r="G8" s="315"/>
      <c r="H8" s="316">
        <v>2</v>
      </c>
      <c r="I8" s="317" t="s">
        <v>220</v>
      </c>
      <c r="J8" s="318">
        <v>0.15000000596046448</v>
      </c>
      <c r="K8" s="319">
        <v>1.6</v>
      </c>
      <c r="L8" s="320">
        <v>9.4E-2</v>
      </c>
    </row>
    <row r="9" spans="1:13" ht="13.5" customHeight="1">
      <c r="A9" s="315" t="s">
        <v>215</v>
      </c>
      <c r="B9" s="316">
        <v>3</v>
      </c>
      <c r="C9" s="317" t="s">
        <v>220</v>
      </c>
      <c r="D9" s="318">
        <v>0.15000000596046448</v>
      </c>
      <c r="E9" s="319">
        <v>1.6</v>
      </c>
      <c r="F9" s="320">
        <v>9.4E-2</v>
      </c>
      <c r="G9" s="315"/>
      <c r="H9" s="316">
        <v>3</v>
      </c>
      <c r="I9" s="317" t="s">
        <v>237</v>
      </c>
      <c r="J9" s="318">
        <v>1.9999999552965164E-2</v>
      </c>
      <c r="K9" s="319">
        <v>1.5</v>
      </c>
      <c r="L9" s="320">
        <v>1.2999999999999999E-2</v>
      </c>
    </row>
    <row r="10" spans="1:13" ht="13.5" customHeight="1">
      <c r="A10" s="315"/>
      <c r="B10" s="316">
        <v>4</v>
      </c>
      <c r="C10" s="317" t="s">
        <v>221</v>
      </c>
      <c r="D10" s="318">
        <v>2.500000037252903E-2</v>
      </c>
      <c r="E10" s="319">
        <v>3.6999999999999998E-2</v>
      </c>
      <c r="F10" s="320">
        <v>0.67600000000000005</v>
      </c>
      <c r="G10" s="315"/>
      <c r="H10" s="316"/>
      <c r="I10" s="317" t="s">
        <v>224</v>
      </c>
      <c r="J10" s="359" t="s">
        <v>217</v>
      </c>
      <c r="K10" s="319" t="s">
        <v>225</v>
      </c>
      <c r="L10" s="320">
        <v>0.111</v>
      </c>
    </row>
    <row r="11" spans="1:13" ht="13.5" customHeight="1">
      <c r="A11" s="315"/>
      <c r="B11" s="316">
        <v>5</v>
      </c>
      <c r="C11" s="317" t="s">
        <v>222</v>
      </c>
      <c r="D11" s="359" t="s">
        <v>217</v>
      </c>
      <c r="E11" s="360" t="s">
        <v>217</v>
      </c>
      <c r="F11" s="320">
        <v>7.0000000000000007E-2</v>
      </c>
      <c r="G11" s="315"/>
      <c r="H11" s="316"/>
      <c r="I11" s="317"/>
      <c r="J11" s="318"/>
      <c r="K11" s="319"/>
      <c r="L11" s="320"/>
    </row>
    <row r="12" spans="1:13" ht="13.5" customHeight="1">
      <c r="A12" s="315"/>
      <c r="B12" s="316">
        <v>6</v>
      </c>
      <c r="C12" s="317" t="s">
        <v>223</v>
      </c>
      <c r="D12" s="318">
        <v>1.2000000104308128E-2</v>
      </c>
      <c r="E12" s="319">
        <v>0.22</v>
      </c>
      <c r="F12" s="320">
        <v>5.5E-2</v>
      </c>
      <c r="G12" s="315"/>
      <c r="H12" s="316"/>
      <c r="I12" s="317"/>
      <c r="J12" s="318"/>
      <c r="K12" s="319"/>
      <c r="L12" s="320"/>
    </row>
    <row r="13" spans="1:13" ht="13.5" customHeight="1">
      <c r="A13" s="315"/>
      <c r="B13" s="316"/>
      <c r="C13" s="317" t="s">
        <v>224</v>
      </c>
      <c r="D13" s="359" t="s">
        <v>217</v>
      </c>
      <c r="E13" s="319" t="s">
        <v>225</v>
      </c>
      <c r="F13" s="320">
        <v>0.111</v>
      </c>
      <c r="G13" s="315"/>
      <c r="H13" s="316"/>
      <c r="I13" s="317"/>
      <c r="J13" s="318"/>
      <c r="K13" s="319"/>
      <c r="L13" s="320"/>
    </row>
    <row r="14" spans="1:13" ht="13.5" customHeight="1">
      <c r="A14" s="315"/>
      <c r="B14" s="316"/>
      <c r="C14" s="317"/>
      <c r="D14" s="318"/>
      <c r="E14" s="319"/>
      <c r="F14" s="320"/>
      <c r="G14" s="315"/>
      <c r="H14" s="316"/>
      <c r="I14" s="317"/>
      <c r="J14" s="318"/>
      <c r="K14" s="319"/>
      <c r="L14" s="320"/>
    </row>
    <row r="15" spans="1:13" ht="13.5" customHeight="1">
      <c r="A15" s="315"/>
      <c r="B15" s="316"/>
      <c r="C15" s="317"/>
      <c r="D15" s="318"/>
      <c r="E15" s="319"/>
      <c r="F15" s="320"/>
      <c r="G15" s="315"/>
      <c r="H15" s="316"/>
      <c r="I15" s="317"/>
      <c r="J15" s="318"/>
      <c r="K15" s="319"/>
      <c r="L15" s="320"/>
    </row>
    <row r="16" spans="1:13" ht="13.5" customHeight="1">
      <c r="A16" s="315"/>
      <c r="B16" s="316"/>
      <c r="C16" s="317"/>
      <c r="D16" s="318"/>
      <c r="E16" s="319"/>
      <c r="F16" s="320"/>
      <c r="G16" s="315"/>
      <c r="H16" s="316"/>
      <c r="I16" s="317"/>
      <c r="J16" s="318"/>
      <c r="K16" s="319"/>
      <c r="L16" s="320"/>
    </row>
    <row r="17" spans="1:12" ht="13.5" customHeight="1">
      <c r="A17" s="315"/>
      <c r="B17" s="316"/>
      <c r="C17" s="317"/>
      <c r="D17" s="318"/>
      <c r="E17" s="319"/>
      <c r="F17" s="320"/>
      <c r="G17" s="315"/>
      <c r="H17" s="316"/>
      <c r="I17" s="317"/>
      <c r="J17" s="318"/>
      <c r="K17" s="319"/>
      <c r="L17" s="320"/>
    </row>
    <row r="18" spans="1:12" ht="13.5" customHeight="1">
      <c r="A18" s="315"/>
      <c r="B18" s="316"/>
      <c r="C18" s="317"/>
      <c r="D18" s="318"/>
      <c r="E18" s="319"/>
      <c r="F18" s="320"/>
      <c r="G18" s="315"/>
      <c r="H18" s="316"/>
      <c r="I18" s="317"/>
      <c r="J18" s="318"/>
      <c r="K18" s="319"/>
      <c r="L18" s="320"/>
    </row>
    <row r="19" spans="1:12" ht="13.5" customHeight="1">
      <c r="A19" s="315"/>
      <c r="B19" s="316"/>
      <c r="C19" s="317"/>
      <c r="D19" s="318"/>
      <c r="E19" s="319"/>
      <c r="F19" s="320"/>
      <c r="G19" s="315"/>
      <c r="H19" s="316"/>
      <c r="I19" s="317"/>
      <c r="J19" s="318"/>
      <c r="K19" s="319"/>
      <c r="L19" s="320"/>
    </row>
    <row r="20" spans="1:12" ht="13.5" customHeight="1">
      <c r="A20" s="321"/>
      <c r="B20" s="322"/>
      <c r="C20" s="323"/>
      <c r="D20" s="324"/>
      <c r="E20" s="325"/>
      <c r="F20" s="326"/>
      <c r="G20" s="321"/>
      <c r="H20" s="322"/>
      <c r="I20" s="323"/>
      <c r="J20" s="324"/>
      <c r="K20" s="325"/>
      <c r="L20" s="326"/>
    </row>
    <row r="21" spans="1:12" ht="13.5" customHeight="1">
      <c r="A21" s="327"/>
      <c r="B21" s="328"/>
      <c r="C21" s="327" t="s">
        <v>226</v>
      </c>
      <c r="D21" s="329"/>
      <c r="E21" s="329"/>
      <c r="F21" s="330">
        <v>1.073</v>
      </c>
      <c r="G21" s="327"/>
      <c r="H21" s="328"/>
      <c r="I21" s="327" t="s">
        <v>226</v>
      </c>
      <c r="J21" s="329"/>
      <c r="K21" s="329"/>
      <c r="L21" s="330">
        <v>0.34200000000000003</v>
      </c>
    </row>
    <row r="22" spans="1:12" ht="13.5" customHeight="1">
      <c r="A22" s="331"/>
      <c r="B22" s="332"/>
      <c r="C22" s="333" t="s">
        <v>227</v>
      </c>
      <c r="D22" s="334"/>
      <c r="E22" s="335"/>
      <c r="F22" s="336"/>
      <c r="G22" s="331"/>
      <c r="H22" s="332"/>
      <c r="I22" s="333" t="s">
        <v>238</v>
      </c>
      <c r="J22" s="334"/>
      <c r="K22" s="335"/>
      <c r="L22" s="336"/>
    </row>
    <row r="23" spans="1:12" ht="13.5" customHeight="1">
      <c r="A23" s="315" t="s">
        <v>228</v>
      </c>
      <c r="B23" s="316">
        <v>1</v>
      </c>
      <c r="C23" s="361" t="s">
        <v>230</v>
      </c>
      <c r="D23" s="338"/>
      <c r="E23" s="339"/>
      <c r="F23" s="340"/>
      <c r="G23" s="315" t="s">
        <v>239</v>
      </c>
      <c r="H23" s="316"/>
      <c r="I23" s="337" t="s">
        <v>224</v>
      </c>
      <c r="J23" s="363" t="s">
        <v>217</v>
      </c>
      <c r="K23" s="339" t="s">
        <v>225</v>
      </c>
      <c r="L23" s="340">
        <v>0.111</v>
      </c>
    </row>
    <row r="24" spans="1:12" ht="13.5" customHeight="1">
      <c r="A24" s="315" t="s">
        <v>229</v>
      </c>
      <c r="B24" s="316"/>
      <c r="C24" s="362"/>
      <c r="D24" s="338"/>
      <c r="E24" s="339"/>
      <c r="F24" s="340"/>
      <c r="G24" s="315" t="s">
        <v>240</v>
      </c>
      <c r="H24" s="316">
        <v>1</v>
      </c>
      <c r="I24" s="337" t="s">
        <v>241</v>
      </c>
      <c r="J24" s="338">
        <v>3.0000000260770321E-3</v>
      </c>
      <c r="K24" s="339">
        <v>0.19</v>
      </c>
      <c r="L24" s="340">
        <v>1.6E-2</v>
      </c>
    </row>
    <row r="25" spans="1:12" ht="13.5" customHeight="1">
      <c r="A25" s="315"/>
      <c r="B25" s="316"/>
      <c r="C25" s="337" t="s">
        <v>231</v>
      </c>
      <c r="D25" s="338"/>
      <c r="E25" s="339"/>
      <c r="F25" s="340"/>
      <c r="G25" s="315"/>
      <c r="H25" s="316">
        <v>2</v>
      </c>
      <c r="I25" s="337" t="s">
        <v>237</v>
      </c>
      <c r="J25" s="338">
        <v>2.7000000700354576E-2</v>
      </c>
      <c r="K25" s="339">
        <v>1.5</v>
      </c>
      <c r="L25" s="340">
        <v>1.7999999999999999E-2</v>
      </c>
    </row>
    <row r="26" spans="1:12" ht="13.5" customHeight="1">
      <c r="A26" s="315"/>
      <c r="B26" s="316"/>
      <c r="C26" s="337" t="s">
        <v>232</v>
      </c>
      <c r="D26" s="338"/>
      <c r="E26" s="339"/>
      <c r="F26" s="340"/>
      <c r="G26" s="315"/>
      <c r="H26" s="316">
        <v>3</v>
      </c>
      <c r="I26" s="337" t="s">
        <v>220</v>
      </c>
      <c r="J26" s="338">
        <v>0.11999999731779099</v>
      </c>
      <c r="K26" s="339">
        <v>1.6</v>
      </c>
      <c r="L26" s="340">
        <v>7.4999999999999997E-2</v>
      </c>
    </row>
    <row r="27" spans="1:12" ht="13.5" customHeight="1">
      <c r="A27" s="315"/>
      <c r="B27" s="316"/>
      <c r="C27" s="337"/>
      <c r="D27" s="338"/>
      <c r="E27" s="339"/>
      <c r="F27" s="340"/>
      <c r="G27" s="315"/>
      <c r="H27" s="316">
        <v>4</v>
      </c>
      <c r="I27" s="337" t="s">
        <v>222</v>
      </c>
      <c r="J27" s="363" t="s">
        <v>217</v>
      </c>
      <c r="K27" s="364" t="s">
        <v>217</v>
      </c>
      <c r="L27" s="340">
        <v>7.0000000000000007E-2</v>
      </c>
    </row>
    <row r="28" spans="1:12" ht="13.5" customHeight="1">
      <c r="A28" s="315"/>
      <c r="B28" s="316"/>
      <c r="C28" s="337"/>
      <c r="D28" s="338"/>
      <c r="E28" s="339"/>
      <c r="F28" s="340"/>
      <c r="G28" s="315"/>
      <c r="H28" s="316">
        <v>5</v>
      </c>
      <c r="I28" s="337" t="s">
        <v>223</v>
      </c>
      <c r="J28" s="338">
        <v>8.999999612569809E-3</v>
      </c>
      <c r="K28" s="339">
        <v>0.22</v>
      </c>
      <c r="L28" s="340">
        <v>4.1000000000000002E-2</v>
      </c>
    </row>
    <row r="29" spans="1:12" ht="13.5" customHeight="1">
      <c r="A29" s="315"/>
      <c r="B29" s="316"/>
      <c r="C29" s="337"/>
      <c r="D29" s="338"/>
      <c r="E29" s="339"/>
      <c r="F29" s="340"/>
      <c r="G29" s="315"/>
      <c r="H29" s="316"/>
      <c r="I29" s="337" t="s">
        <v>224</v>
      </c>
      <c r="J29" s="363" t="s">
        <v>217</v>
      </c>
      <c r="K29" s="339" t="s">
        <v>225</v>
      </c>
      <c r="L29" s="340">
        <v>0.111</v>
      </c>
    </row>
    <row r="30" spans="1:12" ht="13.5" customHeight="1">
      <c r="A30" s="315"/>
      <c r="B30" s="316"/>
      <c r="C30" s="337"/>
      <c r="D30" s="338"/>
      <c r="E30" s="339"/>
      <c r="F30" s="340"/>
      <c r="G30" s="315"/>
      <c r="H30" s="316"/>
      <c r="I30" s="337"/>
      <c r="J30" s="338"/>
      <c r="K30" s="339"/>
      <c r="L30" s="340"/>
    </row>
    <row r="31" spans="1:12" ht="13.5" customHeight="1">
      <c r="A31" s="315"/>
      <c r="B31" s="316"/>
      <c r="C31" s="337"/>
      <c r="D31" s="338"/>
      <c r="E31" s="339"/>
      <c r="F31" s="340"/>
      <c r="G31" s="315"/>
      <c r="H31" s="316"/>
      <c r="I31" s="337"/>
      <c r="J31" s="338"/>
      <c r="K31" s="339"/>
      <c r="L31" s="340"/>
    </row>
    <row r="32" spans="1:12" ht="13.5" customHeight="1">
      <c r="A32" s="315"/>
      <c r="B32" s="316"/>
      <c r="C32" s="337"/>
      <c r="D32" s="338"/>
      <c r="E32" s="339"/>
      <c r="F32" s="340"/>
      <c r="G32" s="315"/>
      <c r="H32" s="316"/>
      <c r="I32" s="337"/>
      <c r="J32" s="338"/>
      <c r="K32" s="339"/>
      <c r="L32" s="340"/>
    </row>
    <row r="33" spans="1:12" ht="13.5" customHeight="1">
      <c r="A33" s="315"/>
      <c r="B33" s="316"/>
      <c r="C33" s="337"/>
      <c r="D33" s="338"/>
      <c r="E33" s="339"/>
      <c r="F33" s="340"/>
      <c r="G33" s="315"/>
      <c r="H33" s="316"/>
      <c r="I33" s="337"/>
      <c r="J33" s="338"/>
      <c r="K33" s="339"/>
      <c r="L33" s="340"/>
    </row>
    <row r="34" spans="1:12" ht="13.5" customHeight="1">
      <c r="A34" s="315"/>
      <c r="B34" s="316"/>
      <c r="C34" s="337"/>
      <c r="D34" s="338"/>
      <c r="E34" s="339"/>
      <c r="F34" s="340"/>
      <c r="G34" s="315"/>
      <c r="H34" s="316"/>
      <c r="I34" s="337"/>
      <c r="J34" s="338"/>
      <c r="K34" s="339"/>
      <c r="L34" s="340"/>
    </row>
    <row r="35" spans="1:12" ht="13.5" customHeight="1">
      <c r="A35" s="315"/>
      <c r="B35" s="316"/>
      <c r="C35" s="337"/>
      <c r="D35" s="338"/>
      <c r="E35" s="339"/>
      <c r="F35" s="340"/>
      <c r="G35" s="315"/>
      <c r="H35" s="316"/>
      <c r="I35" s="337"/>
      <c r="J35" s="338"/>
      <c r="K35" s="339"/>
      <c r="L35" s="340"/>
    </row>
    <row r="36" spans="1:12" ht="13.5" customHeight="1">
      <c r="A36" s="315"/>
      <c r="B36" s="316"/>
      <c r="C36" s="337"/>
      <c r="D36" s="338"/>
      <c r="E36" s="339"/>
      <c r="F36" s="340"/>
      <c r="G36" s="315"/>
      <c r="H36" s="316"/>
      <c r="I36" s="337"/>
      <c r="J36" s="338"/>
      <c r="K36" s="339"/>
      <c r="L36" s="340"/>
    </row>
    <row r="37" spans="1:12" ht="13.5" customHeight="1">
      <c r="A37" s="321"/>
      <c r="B37" s="322"/>
      <c r="C37" s="341"/>
      <c r="D37" s="342"/>
      <c r="E37" s="343"/>
      <c r="F37" s="344"/>
      <c r="G37" s="321"/>
      <c r="H37" s="322"/>
      <c r="I37" s="341"/>
      <c r="J37" s="342"/>
      <c r="K37" s="343"/>
      <c r="L37" s="344"/>
    </row>
    <row r="38" spans="1:12" ht="13.5" customHeight="1">
      <c r="A38" s="327"/>
      <c r="B38" s="328"/>
      <c r="C38" s="345"/>
      <c r="D38" s="346"/>
      <c r="E38" s="346"/>
      <c r="F38" s="347"/>
      <c r="G38" s="327"/>
      <c r="H38" s="328"/>
      <c r="I38" s="345" t="s">
        <v>226</v>
      </c>
      <c r="J38" s="346"/>
      <c r="K38" s="346"/>
      <c r="L38" s="347">
        <v>0.442</v>
      </c>
    </row>
    <row r="39" spans="1:12" ht="13.5" customHeight="1">
      <c r="A39" s="348"/>
      <c r="B39" s="349"/>
      <c r="C39" s="350" t="s">
        <v>234</v>
      </c>
      <c r="D39" s="351"/>
      <c r="E39" s="352" t="s">
        <v>233</v>
      </c>
      <c r="F39" s="353"/>
      <c r="G39" s="348"/>
      <c r="H39" s="349"/>
      <c r="I39" s="350" t="s">
        <v>242</v>
      </c>
      <c r="J39" s="351"/>
      <c r="K39" s="352"/>
      <c r="L39" s="353"/>
    </row>
    <row r="40" spans="1:12" ht="13.5" customHeight="1">
      <c r="G40" s="356"/>
      <c r="I40" s="356"/>
    </row>
    <row r="41" spans="1:12" ht="13.5" customHeight="1">
      <c r="G41" s="356"/>
      <c r="I41" s="356"/>
    </row>
    <row r="42" spans="1:12" ht="13.5" customHeight="1">
      <c r="G42" s="356"/>
      <c r="I42" s="356"/>
    </row>
    <row r="43" spans="1:12" ht="13.5" customHeight="1">
      <c r="G43" s="356"/>
      <c r="I43" s="356"/>
    </row>
    <row r="44" spans="1:12" ht="13.5" customHeight="1">
      <c r="G44" s="356"/>
      <c r="I44" s="356"/>
    </row>
    <row r="45" spans="1:12" ht="13.5" customHeight="1">
      <c r="G45" s="356"/>
      <c r="I45" s="356"/>
    </row>
    <row r="46" spans="1:12" ht="13.5" customHeight="1">
      <c r="G46" s="356"/>
      <c r="I46" s="356"/>
    </row>
    <row r="47" spans="1:12" ht="13.5" customHeight="1">
      <c r="G47" s="356"/>
      <c r="I47" s="356"/>
    </row>
    <row r="48" spans="1:12" ht="13.5" customHeight="1">
      <c r="G48" s="356"/>
      <c r="I48" s="356"/>
    </row>
    <row r="49" spans="7:9" ht="13.5" customHeight="1">
      <c r="G49" s="356"/>
      <c r="I49" s="356"/>
    </row>
    <row r="50" spans="7:9" ht="13.5" customHeight="1">
      <c r="G50" s="356"/>
      <c r="I50" s="356"/>
    </row>
    <row r="51" spans="7:9" ht="13.5" customHeight="1">
      <c r="G51" s="356"/>
      <c r="I51" s="356"/>
    </row>
    <row r="52" spans="7:9" ht="13.5" customHeight="1">
      <c r="G52" s="356"/>
      <c r="I52" s="356"/>
    </row>
    <row r="53" spans="7:9" ht="13.5" customHeight="1">
      <c r="G53" s="356"/>
      <c r="I53" s="356"/>
    </row>
    <row r="54" spans="7:9" ht="13.5" customHeight="1">
      <c r="G54" s="356"/>
      <c r="I54" s="356"/>
    </row>
    <row r="55" spans="7:9" ht="13.5" customHeight="1">
      <c r="G55" s="356"/>
      <c r="I55" s="356"/>
    </row>
    <row r="56" spans="7:9" ht="13.5" customHeight="1">
      <c r="G56" s="356"/>
      <c r="I56" s="356"/>
    </row>
    <row r="57" spans="7:9" ht="13.5" customHeight="1">
      <c r="G57" s="356"/>
      <c r="I57" s="356"/>
    </row>
    <row r="58" spans="7:9" ht="13.5" customHeight="1">
      <c r="G58" s="356"/>
      <c r="I58" s="356"/>
    </row>
    <row r="59" spans="7:9" ht="13.5" customHeight="1">
      <c r="G59" s="356"/>
      <c r="I59" s="356"/>
    </row>
    <row r="60" spans="7:9" ht="13.5" customHeight="1">
      <c r="G60" s="356"/>
      <c r="I60" s="356"/>
    </row>
    <row r="61" spans="7:9" ht="13.5" customHeight="1">
      <c r="G61" s="356"/>
      <c r="I61" s="356"/>
    </row>
    <row r="62" spans="7:9" ht="13.5" customHeight="1">
      <c r="G62" s="356"/>
      <c r="I62" s="356"/>
    </row>
    <row r="63" spans="7:9" ht="13.5" customHeight="1">
      <c r="G63" s="356"/>
      <c r="I63" s="356"/>
    </row>
    <row r="64" spans="7:9" ht="13.5" customHeight="1">
      <c r="G64" s="356"/>
      <c r="I64" s="356"/>
    </row>
    <row r="65" spans="7:9" ht="13.5" customHeight="1">
      <c r="G65" s="356"/>
      <c r="I65" s="356"/>
    </row>
    <row r="66" spans="7:9" ht="13.5" customHeight="1">
      <c r="G66" s="356"/>
      <c r="I66" s="356"/>
    </row>
    <row r="67" spans="7:9" ht="13.5" customHeight="1">
      <c r="G67" s="356"/>
      <c r="I67" s="356"/>
    </row>
    <row r="68" spans="7:9" ht="13.5" customHeight="1">
      <c r="G68" s="356"/>
      <c r="I68" s="356"/>
    </row>
    <row r="69" spans="7:9" ht="13.5" customHeight="1">
      <c r="G69" s="356"/>
      <c r="I69" s="356"/>
    </row>
    <row r="70" spans="7:9" ht="13.5" customHeight="1">
      <c r="G70" s="356"/>
      <c r="I70" s="356"/>
    </row>
    <row r="71" spans="7:9" ht="13.5" customHeight="1">
      <c r="G71" s="356"/>
      <c r="I71" s="356"/>
    </row>
    <row r="72" spans="7:9" ht="13.5" customHeight="1">
      <c r="G72" s="356"/>
      <c r="I72" s="356"/>
    </row>
    <row r="73" spans="7:9" ht="13.5" customHeight="1">
      <c r="G73" s="356"/>
      <c r="I73" s="356"/>
    </row>
    <row r="74" spans="7:9" ht="13.5" customHeight="1">
      <c r="G74" s="356"/>
      <c r="I74" s="356"/>
    </row>
    <row r="75" spans="7:9" ht="13.5" customHeight="1">
      <c r="G75" s="356"/>
      <c r="I75" s="356"/>
    </row>
    <row r="76" spans="7:9" ht="13.5" customHeight="1">
      <c r="G76" s="356"/>
      <c r="I76" s="356"/>
    </row>
    <row r="77" spans="7:9" ht="13.5" customHeight="1">
      <c r="G77" s="356"/>
      <c r="I77" s="356"/>
    </row>
    <row r="78" spans="7:9" ht="13.5" customHeight="1">
      <c r="G78" s="356"/>
      <c r="I78" s="356"/>
    </row>
    <row r="79" spans="7:9" ht="13.5" customHeight="1">
      <c r="G79" s="356"/>
      <c r="I79" s="356"/>
    </row>
    <row r="80" spans="7:9" ht="13.5" customHeight="1">
      <c r="G80" s="356"/>
      <c r="I80" s="356"/>
    </row>
    <row r="81" spans="7:9" ht="13.5" customHeight="1">
      <c r="G81" s="356"/>
      <c r="I81" s="356"/>
    </row>
    <row r="82" spans="7:9" ht="13.5" customHeight="1">
      <c r="G82" s="356"/>
      <c r="I82" s="356"/>
    </row>
    <row r="83" spans="7:9" ht="13.5" customHeight="1">
      <c r="G83" s="356"/>
      <c r="I83" s="356"/>
    </row>
    <row r="84" spans="7:9" ht="13.5" customHeight="1">
      <c r="G84" s="356"/>
      <c r="I84" s="356"/>
    </row>
    <row r="85" spans="7:9" ht="13.5" customHeight="1">
      <c r="G85" s="356"/>
      <c r="I85" s="356"/>
    </row>
    <row r="86" spans="7:9" ht="13.5" customHeight="1">
      <c r="G86" s="356"/>
      <c r="I86" s="356"/>
    </row>
    <row r="87" spans="7:9" ht="13.5" customHeight="1">
      <c r="G87" s="356"/>
      <c r="I87" s="356"/>
    </row>
    <row r="88" spans="7:9" ht="13.5" customHeight="1">
      <c r="G88" s="356"/>
      <c r="I88" s="356"/>
    </row>
    <row r="89" spans="7:9" ht="13.5" customHeight="1">
      <c r="G89" s="356"/>
      <c r="I89" s="356"/>
    </row>
    <row r="90" spans="7:9" ht="13.5" customHeight="1">
      <c r="G90" s="356"/>
      <c r="I90" s="356"/>
    </row>
    <row r="91" spans="7:9" ht="13.5" customHeight="1">
      <c r="G91" s="356"/>
      <c r="I91" s="356"/>
    </row>
    <row r="92" spans="7:9" ht="13.5" customHeight="1">
      <c r="G92" s="356"/>
      <c r="I92" s="356"/>
    </row>
    <row r="93" spans="7:9" ht="13.5" customHeight="1">
      <c r="G93" s="356"/>
      <c r="I93" s="356"/>
    </row>
    <row r="94" spans="7:9" ht="13.5" customHeight="1">
      <c r="G94" s="356"/>
      <c r="I94" s="356"/>
    </row>
    <row r="95" spans="7:9" ht="13.5" customHeight="1">
      <c r="G95" s="356"/>
      <c r="I95" s="356"/>
    </row>
    <row r="96" spans="7:9" ht="13.5" customHeight="1">
      <c r="G96" s="356"/>
      <c r="I96" s="356"/>
    </row>
    <row r="97" spans="7:9" ht="13.5" customHeight="1">
      <c r="G97" s="356"/>
      <c r="I97" s="356"/>
    </row>
    <row r="98" spans="7:9" ht="13.5" customHeight="1">
      <c r="G98" s="356"/>
      <c r="I98" s="356"/>
    </row>
    <row r="99" spans="7:9" ht="13.5" customHeight="1">
      <c r="G99" s="356"/>
      <c r="I99" s="356"/>
    </row>
    <row r="100" spans="7:9" ht="13.5" customHeight="1">
      <c r="G100" s="356"/>
      <c r="I100" s="356"/>
    </row>
    <row r="101" spans="7:9" ht="13.5" customHeight="1">
      <c r="G101" s="356"/>
      <c r="I101" s="356"/>
    </row>
    <row r="102" spans="7:9" ht="13.5" customHeight="1">
      <c r="G102" s="356"/>
      <c r="I102" s="356"/>
    </row>
    <row r="103" spans="7:9" ht="13.5" customHeight="1">
      <c r="G103" s="356"/>
      <c r="I103" s="356"/>
    </row>
    <row r="104" spans="7:9" ht="13.5" customHeight="1">
      <c r="G104" s="356"/>
      <c r="I104" s="356"/>
    </row>
    <row r="105" spans="7:9" ht="13.5" customHeight="1">
      <c r="G105" s="356"/>
      <c r="I105" s="356"/>
    </row>
    <row r="106" spans="7:9" ht="13.5" customHeight="1">
      <c r="G106" s="356"/>
      <c r="I106" s="356"/>
    </row>
    <row r="107" spans="7:9" ht="13.5" customHeight="1">
      <c r="G107" s="356"/>
      <c r="I107" s="356"/>
    </row>
    <row r="108" spans="7:9" ht="13.5" customHeight="1">
      <c r="G108" s="356"/>
      <c r="I108" s="356"/>
    </row>
    <row r="109" spans="7:9" ht="13.5" customHeight="1">
      <c r="G109" s="356"/>
      <c r="I109" s="356"/>
    </row>
    <row r="110" spans="7:9" ht="13.5" customHeight="1">
      <c r="G110" s="356"/>
      <c r="I110" s="356"/>
    </row>
    <row r="111" spans="7:9" ht="13.5" customHeight="1">
      <c r="G111" s="356"/>
      <c r="I111" s="356"/>
    </row>
    <row r="112" spans="7:9" ht="13.5" customHeight="1">
      <c r="G112" s="356"/>
      <c r="I112" s="356"/>
    </row>
    <row r="113" spans="7:9" ht="13.5" customHeight="1">
      <c r="G113" s="356"/>
      <c r="I113" s="356"/>
    </row>
    <row r="114" spans="7:9" ht="13.5" customHeight="1">
      <c r="G114" s="356"/>
      <c r="I114" s="356"/>
    </row>
    <row r="115" spans="7:9" ht="13.5" customHeight="1">
      <c r="G115" s="356"/>
      <c r="I115" s="356"/>
    </row>
    <row r="116" spans="7:9" ht="13.5" customHeight="1">
      <c r="G116" s="356"/>
      <c r="I116" s="356"/>
    </row>
    <row r="117" spans="7:9" ht="13.5" customHeight="1">
      <c r="G117" s="356"/>
      <c r="I117" s="356"/>
    </row>
    <row r="118" spans="7:9" ht="13.5" customHeight="1">
      <c r="G118" s="356"/>
      <c r="I118" s="356"/>
    </row>
    <row r="119" spans="7:9" ht="13.5" customHeight="1">
      <c r="G119" s="356"/>
      <c r="I119" s="356"/>
    </row>
    <row r="120" spans="7:9" ht="13.5" customHeight="1">
      <c r="G120" s="356"/>
      <c r="I120" s="356"/>
    </row>
    <row r="121" spans="7:9" ht="13.5" customHeight="1">
      <c r="G121" s="356"/>
      <c r="I121" s="356"/>
    </row>
    <row r="122" spans="7:9" ht="13.5" customHeight="1">
      <c r="G122" s="356"/>
      <c r="I122" s="356"/>
    </row>
    <row r="123" spans="7:9" ht="13.5" customHeight="1">
      <c r="G123" s="356"/>
      <c r="I123" s="356"/>
    </row>
    <row r="124" spans="7:9" ht="13.5" customHeight="1">
      <c r="G124" s="356"/>
      <c r="I124" s="356"/>
    </row>
    <row r="125" spans="7:9" ht="13.5" customHeight="1">
      <c r="G125" s="356"/>
      <c r="I125" s="356"/>
    </row>
    <row r="126" spans="7:9" ht="13.5" customHeight="1">
      <c r="G126" s="356"/>
      <c r="I126" s="356"/>
    </row>
    <row r="127" spans="7:9" ht="13.5" customHeight="1">
      <c r="G127" s="356"/>
      <c r="I127" s="356"/>
    </row>
    <row r="128" spans="7:9" ht="13.5" customHeight="1">
      <c r="G128" s="356"/>
      <c r="I128" s="356"/>
    </row>
    <row r="129" spans="7:9" ht="13.5" customHeight="1">
      <c r="G129" s="356"/>
      <c r="I129" s="356"/>
    </row>
    <row r="130" spans="7:9" ht="13.5" customHeight="1">
      <c r="G130" s="356"/>
      <c r="I130" s="356"/>
    </row>
    <row r="131" spans="7:9" ht="13.5" customHeight="1">
      <c r="G131" s="356"/>
      <c r="I131" s="356"/>
    </row>
    <row r="132" spans="7:9" ht="13.5" customHeight="1">
      <c r="G132" s="356"/>
      <c r="I132" s="356"/>
    </row>
    <row r="133" spans="7:9" ht="13.5" customHeight="1">
      <c r="G133" s="356"/>
      <c r="I133" s="356"/>
    </row>
    <row r="134" spans="7:9" ht="13.5" customHeight="1">
      <c r="G134" s="356"/>
      <c r="I134" s="356"/>
    </row>
    <row r="135" spans="7:9" ht="13.5" customHeight="1">
      <c r="G135" s="356"/>
      <c r="I135" s="356"/>
    </row>
    <row r="136" spans="7:9" ht="13.5" customHeight="1">
      <c r="G136" s="356"/>
      <c r="I136" s="356"/>
    </row>
    <row r="137" spans="7:9" ht="13.5" customHeight="1">
      <c r="G137" s="356"/>
      <c r="I137" s="356"/>
    </row>
    <row r="138" spans="7:9" ht="13.5" customHeight="1">
      <c r="G138" s="356"/>
      <c r="I138" s="356"/>
    </row>
    <row r="139" spans="7:9" ht="13.5" customHeight="1">
      <c r="G139" s="356"/>
      <c r="I139" s="356"/>
    </row>
    <row r="140" spans="7:9" ht="13.5" customHeight="1">
      <c r="G140" s="356"/>
      <c r="I140" s="356"/>
    </row>
    <row r="141" spans="7:9" ht="13.5" customHeight="1">
      <c r="G141" s="356"/>
      <c r="I141" s="356"/>
    </row>
    <row r="142" spans="7:9" ht="13.5" customHeight="1">
      <c r="G142" s="356"/>
      <c r="I142" s="356"/>
    </row>
    <row r="143" spans="7:9" ht="13.5" customHeight="1">
      <c r="G143" s="356"/>
      <c r="I143" s="356"/>
    </row>
    <row r="144" spans="7:9" ht="13.5" customHeight="1">
      <c r="G144" s="356"/>
      <c r="I144" s="356"/>
    </row>
    <row r="145" spans="7:9" ht="13.5" customHeight="1">
      <c r="G145" s="356"/>
      <c r="I145" s="356"/>
    </row>
    <row r="146" spans="7:9" ht="13.5" customHeight="1">
      <c r="G146" s="356"/>
      <c r="I146" s="356"/>
    </row>
    <row r="147" spans="7:9" ht="13.5" customHeight="1">
      <c r="G147" s="356"/>
      <c r="I147" s="356"/>
    </row>
    <row r="148" spans="7:9" ht="13.5" customHeight="1">
      <c r="G148" s="356"/>
      <c r="I148" s="356"/>
    </row>
    <row r="149" spans="7:9" ht="13.5" customHeight="1">
      <c r="G149" s="356"/>
      <c r="I149" s="356"/>
    </row>
    <row r="150" spans="7:9" ht="13.5" customHeight="1">
      <c r="G150" s="356"/>
      <c r="I150" s="356"/>
    </row>
    <row r="151" spans="7:9" ht="13.5" customHeight="1">
      <c r="G151" s="356"/>
      <c r="I151" s="356"/>
    </row>
    <row r="152" spans="7:9" ht="13.5" customHeight="1">
      <c r="G152" s="356"/>
      <c r="I152" s="356"/>
    </row>
    <row r="153" spans="7:9" ht="13.5" customHeight="1">
      <c r="G153" s="356"/>
      <c r="I153" s="356"/>
    </row>
    <row r="154" spans="7:9" ht="13.5" customHeight="1">
      <c r="G154" s="356"/>
      <c r="I154" s="356"/>
    </row>
    <row r="155" spans="7:9" ht="13.5" customHeight="1">
      <c r="G155" s="356"/>
      <c r="I155" s="356"/>
    </row>
    <row r="156" spans="7:9" ht="13.5" customHeight="1">
      <c r="G156" s="356"/>
      <c r="I156" s="356"/>
    </row>
    <row r="157" spans="7:9" ht="13.5" customHeight="1">
      <c r="G157" s="356"/>
      <c r="I157" s="356"/>
    </row>
    <row r="158" spans="7:9" ht="13.5" customHeight="1">
      <c r="G158" s="356"/>
      <c r="I158" s="356"/>
    </row>
    <row r="159" spans="7:9" ht="13.5" customHeight="1">
      <c r="G159" s="356"/>
      <c r="I159" s="356"/>
    </row>
    <row r="160" spans="7:9" ht="13.5" customHeight="1">
      <c r="G160" s="356"/>
      <c r="I160" s="356"/>
    </row>
    <row r="161" spans="7:9" ht="13.5" customHeight="1">
      <c r="G161" s="356"/>
      <c r="I161" s="356"/>
    </row>
    <row r="162" spans="7:9" ht="13.5" customHeight="1">
      <c r="G162" s="356"/>
      <c r="I162" s="356"/>
    </row>
    <row r="163" spans="7:9" ht="13.5" customHeight="1">
      <c r="G163" s="356"/>
      <c r="I163" s="356"/>
    </row>
    <row r="164" spans="7:9" ht="13.5" customHeight="1">
      <c r="G164" s="356"/>
      <c r="I164" s="356"/>
    </row>
    <row r="165" spans="7:9" ht="13.5" customHeight="1">
      <c r="G165" s="356"/>
      <c r="I165" s="356"/>
    </row>
    <row r="166" spans="7:9" ht="13.5" customHeight="1">
      <c r="G166" s="356"/>
      <c r="I166" s="356"/>
    </row>
    <row r="167" spans="7:9" ht="13.5" customHeight="1">
      <c r="G167" s="356"/>
      <c r="I167" s="356"/>
    </row>
    <row r="168" spans="7:9" ht="13.5" customHeight="1">
      <c r="G168" s="356"/>
      <c r="I168" s="356"/>
    </row>
    <row r="169" spans="7:9" ht="13.5" customHeight="1">
      <c r="G169" s="356"/>
      <c r="I169" s="356"/>
    </row>
    <row r="170" spans="7:9" ht="13.5" customHeight="1">
      <c r="G170" s="356"/>
      <c r="I170" s="356"/>
    </row>
    <row r="171" spans="7:9" ht="13.5" customHeight="1">
      <c r="G171" s="356"/>
      <c r="I171" s="356"/>
    </row>
    <row r="172" spans="7:9" ht="13.5" customHeight="1">
      <c r="G172" s="356"/>
      <c r="I172" s="356"/>
    </row>
    <row r="173" spans="7:9" ht="13.5" customHeight="1">
      <c r="G173" s="356"/>
      <c r="I173" s="356"/>
    </row>
    <row r="174" spans="7:9" ht="13.5" customHeight="1">
      <c r="G174" s="356"/>
      <c r="I174" s="356"/>
    </row>
    <row r="175" spans="7:9" ht="13.5" customHeight="1">
      <c r="G175" s="356"/>
      <c r="I175" s="356"/>
    </row>
    <row r="176" spans="7:9" ht="13.5" customHeight="1">
      <c r="G176" s="356"/>
      <c r="I176" s="356"/>
    </row>
    <row r="177" spans="7:9" ht="13.5" customHeight="1">
      <c r="G177" s="356"/>
      <c r="I177" s="356"/>
    </row>
    <row r="178" spans="7:9" ht="13.5" customHeight="1">
      <c r="G178" s="356"/>
      <c r="I178" s="356"/>
    </row>
    <row r="179" spans="7:9" ht="13.5" customHeight="1">
      <c r="G179" s="356"/>
      <c r="I179" s="356"/>
    </row>
    <row r="180" spans="7:9" ht="13.5" customHeight="1">
      <c r="G180" s="356"/>
      <c r="I180" s="356"/>
    </row>
    <row r="181" spans="7:9" ht="13.5" customHeight="1">
      <c r="G181" s="356"/>
      <c r="I181" s="356"/>
    </row>
    <row r="182" spans="7:9" ht="13.5" customHeight="1">
      <c r="G182" s="356"/>
      <c r="I182" s="356"/>
    </row>
    <row r="183" spans="7:9" ht="13.5" customHeight="1">
      <c r="G183" s="356"/>
      <c r="I183" s="356"/>
    </row>
    <row r="184" spans="7:9" ht="13.5" customHeight="1">
      <c r="G184" s="356"/>
      <c r="I184" s="356"/>
    </row>
    <row r="185" spans="7:9" ht="13.5" customHeight="1">
      <c r="G185" s="356"/>
      <c r="I185" s="356"/>
    </row>
    <row r="186" spans="7:9" ht="13.5" customHeight="1">
      <c r="G186" s="356"/>
      <c r="I186" s="356"/>
    </row>
    <row r="187" spans="7:9" ht="13.5" customHeight="1">
      <c r="G187" s="356"/>
      <c r="I187" s="356"/>
    </row>
    <row r="188" spans="7:9" ht="13.5" customHeight="1">
      <c r="G188" s="356"/>
      <c r="I188" s="356"/>
    </row>
    <row r="189" spans="7:9" ht="13.5" customHeight="1">
      <c r="G189" s="356"/>
      <c r="I189" s="356"/>
    </row>
    <row r="190" spans="7:9" ht="13.5" customHeight="1">
      <c r="G190" s="356"/>
      <c r="I190" s="356"/>
    </row>
    <row r="191" spans="7:9" ht="13.5" customHeight="1">
      <c r="G191" s="356"/>
      <c r="I191" s="356"/>
    </row>
    <row r="192" spans="7:9" ht="13.5" customHeight="1">
      <c r="G192" s="356"/>
      <c r="I192" s="356"/>
    </row>
    <row r="193" spans="7:9" ht="13.5" customHeight="1">
      <c r="G193" s="356"/>
      <c r="I193" s="356"/>
    </row>
    <row r="194" spans="7:9" ht="13.5" customHeight="1">
      <c r="G194" s="356"/>
      <c r="I194" s="356"/>
    </row>
    <row r="195" spans="7:9" ht="13.5" customHeight="1">
      <c r="G195" s="356"/>
      <c r="I195" s="356"/>
    </row>
    <row r="196" spans="7:9" ht="13.5" customHeight="1">
      <c r="G196" s="356"/>
      <c r="I196" s="356"/>
    </row>
    <row r="197" spans="7:9" ht="13.5" customHeight="1">
      <c r="G197" s="356"/>
      <c r="I197" s="356"/>
    </row>
    <row r="198" spans="7:9" ht="13.5" customHeight="1">
      <c r="G198" s="356"/>
      <c r="I198" s="356"/>
    </row>
    <row r="199" spans="7:9" ht="13.5" customHeight="1">
      <c r="G199" s="356"/>
      <c r="I199" s="356"/>
    </row>
    <row r="200" spans="7:9" ht="13.5" customHeight="1">
      <c r="G200" s="356"/>
      <c r="I200" s="356"/>
    </row>
    <row r="201" spans="7:9" ht="13.5" customHeight="1">
      <c r="G201" s="356"/>
      <c r="I201" s="356"/>
    </row>
    <row r="202" spans="7:9" ht="13.5" customHeight="1">
      <c r="G202" s="356"/>
      <c r="I202" s="356"/>
    </row>
    <row r="203" spans="7:9" ht="13.5" customHeight="1">
      <c r="G203" s="356"/>
      <c r="I203" s="356"/>
    </row>
    <row r="204" spans="7:9" ht="13.5" customHeight="1">
      <c r="G204" s="356"/>
      <c r="I204" s="356"/>
    </row>
    <row r="205" spans="7:9" ht="13.5" customHeight="1">
      <c r="G205" s="356"/>
      <c r="I205" s="356"/>
    </row>
    <row r="206" spans="7:9" ht="13.5" customHeight="1">
      <c r="G206" s="356"/>
      <c r="I206" s="356"/>
    </row>
    <row r="207" spans="7:9" ht="13.5" customHeight="1">
      <c r="G207" s="356"/>
      <c r="I207" s="356"/>
    </row>
    <row r="208" spans="7:9" ht="13.5" customHeight="1">
      <c r="G208" s="356"/>
      <c r="I208" s="356"/>
    </row>
    <row r="209" spans="7:9" ht="13.5" customHeight="1">
      <c r="G209" s="356"/>
      <c r="I209" s="356"/>
    </row>
    <row r="210" spans="7:9" ht="13.5" customHeight="1">
      <c r="G210" s="356"/>
      <c r="I210" s="356"/>
    </row>
    <row r="211" spans="7:9" ht="13.5" customHeight="1">
      <c r="G211" s="356"/>
      <c r="I211" s="356"/>
    </row>
    <row r="212" spans="7:9" ht="13.5" customHeight="1">
      <c r="G212" s="356"/>
      <c r="I212" s="356"/>
    </row>
    <row r="213" spans="7:9" ht="13.5" customHeight="1">
      <c r="G213" s="356"/>
      <c r="I213" s="356"/>
    </row>
    <row r="214" spans="7:9" ht="13.5" customHeight="1">
      <c r="G214" s="356"/>
      <c r="I214" s="356"/>
    </row>
    <row r="215" spans="7:9" ht="13.5" customHeight="1">
      <c r="G215" s="356"/>
      <c r="I215" s="356"/>
    </row>
    <row r="216" spans="7:9" ht="13.5" customHeight="1">
      <c r="G216" s="356"/>
      <c r="I216" s="356"/>
    </row>
    <row r="217" spans="7:9" ht="13.5" customHeight="1">
      <c r="G217" s="356"/>
      <c r="I217" s="356"/>
    </row>
    <row r="218" spans="7:9" ht="13.5" customHeight="1">
      <c r="G218" s="356"/>
      <c r="I218" s="356"/>
    </row>
    <row r="219" spans="7:9" ht="13.5" customHeight="1">
      <c r="G219" s="356"/>
      <c r="I219" s="356"/>
    </row>
    <row r="220" spans="7:9" ht="13.5" customHeight="1">
      <c r="G220" s="356"/>
      <c r="I220" s="356"/>
    </row>
    <row r="221" spans="7:9" ht="13.5" customHeight="1">
      <c r="G221" s="356"/>
      <c r="I221" s="356"/>
    </row>
    <row r="222" spans="7:9" ht="13.5" customHeight="1">
      <c r="G222" s="356"/>
      <c r="I222" s="356"/>
    </row>
    <row r="223" spans="7:9" ht="13.5" customHeight="1">
      <c r="G223" s="356"/>
      <c r="I223" s="356"/>
    </row>
    <row r="224" spans="7:9" ht="13.5" customHeight="1">
      <c r="G224" s="356"/>
      <c r="I224" s="356"/>
    </row>
    <row r="225" spans="7:9" ht="13.5" customHeight="1">
      <c r="G225" s="356"/>
      <c r="I225" s="356"/>
    </row>
    <row r="226" spans="7:9" ht="13.5" customHeight="1">
      <c r="G226" s="356"/>
      <c r="I226" s="356"/>
    </row>
    <row r="227" spans="7:9" ht="13.5" customHeight="1">
      <c r="G227" s="356"/>
      <c r="I227" s="356"/>
    </row>
    <row r="228" spans="7:9" ht="13.5" customHeight="1">
      <c r="G228" s="356"/>
      <c r="I228" s="356"/>
    </row>
    <row r="229" spans="7:9" ht="13.5" customHeight="1">
      <c r="G229" s="356"/>
      <c r="I229" s="356"/>
    </row>
    <row r="230" spans="7:9" ht="13.5" customHeight="1">
      <c r="G230" s="356"/>
      <c r="I230" s="356"/>
    </row>
    <row r="231" spans="7:9" ht="13.5" customHeight="1">
      <c r="G231" s="356"/>
      <c r="I231" s="356"/>
    </row>
    <row r="232" spans="7:9" ht="13.5" customHeight="1">
      <c r="G232" s="356"/>
      <c r="I232" s="356"/>
    </row>
    <row r="233" spans="7:9" ht="13.5" customHeight="1">
      <c r="G233" s="356"/>
      <c r="I233" s="356"/>
    </row>
    <row r="234" spans="7:9" ht="13.5" customHeight="1">
      <c r="G234" s="356"/>
      <c r="I234" s="356"/>
    </row>
    <row r="235" spans="7:9" ht="13.5" customHeight="1">
      <c r="G235" s="356"/>
      <c r="I235" s="356"/>
    </row>
    <row r="236" spans="7:9" ht="13.5" customHeight="1">
      <c r="G236" s="356"/>
      <c r="I236" s="356"/>
    </row>
    <row r="237" spans="7:9" ht="13.5" customHeight="1">
      <c r="G237" s="356"/>
      <c r="I237" s="356"/>
    </row>
    <row r="238" spans="7:9" ht="13.5" customHeight="1">
      <c r="G238" s="356"/>
      <c r="I238" s="356"/>
    </row>
    <row r="239" spans="7:9" ht="13.5" customHeight="1">
      <c r="G239" s="356"/>
      <c r="I239" s="356"/>
    </row>
    <row r="240" spans="7:9" ht="13.5" customHeight="1">
      <c r="G240" s="356"/>
      <c r="I240" s="356"/>
    </row>
    <row r="241" spans="7:9" ht="13.5" customHeight="1">
      <c r="G241" s="356"/>
      <c r="I241" s="356"/>
    </row>
    <row r="242" spans="7:9" ht="13.5" customHeight="1">
      <c r="G242" s="356"/>
      <c r="I242" s="356"/>
    </row>
    <row r="243" spans="7:9" ht="13.5" customHeight="1">
      <c r="G243" s="356"/>
      <c r="I243" s="356"/>
    </row>
    <row r="244" spans="7:9" ht="13.5" customHeight="1">
      <c r="G244" s="356"/>
      <c r="I244" s="356"/>
    </row>
    <row r="245" spans="7:9" ht="13.5" customHeight="1">
      <c r="G245" s="356"/>
      <c r="I245" s="356"/>
    </row>
    <row r="246" spans="7:9" ht="13.5" customHeight="1">
      <c r="G246" s="356"/>
      <c r="I246" s="356"/>
    </row>
    <row r="247" spans="7:9" ht="13.5" customHeight="1">
      <c r="G247" s="356"/>
      <c r="I247" s="356"/>
    </row>
    <row r="248" spans="7:9" ht="13.5" customHeight="1">
      <c r="G248" s="356"/>
      <c r="I248" s="356"/>
    </row>
    <row r="249" spans="7:9" ht="13.5" customHeight="1">
      <c r="G249" s="356"/>
      <c r="I249" s="356"/>
    </row>
    <row r="250" spans="7:9" ht="13.5" customHeight="1">
      <c r="G250" s="356"/>
      <c r="I250" s="356"/>
    </row>
    <row r="251" spans="7:9" ht="13.5" customHeight="1">
      <c r="G251" s="356"/>
      <c r="I251" s="356"/>
    </row>
    <row r="252" spans="7:9" ht="13.5" customHeight="1">
      <c r="G252" s="356"/>
      <c r="I252" s="356"/>
    </row>
    <row r="253" spans="7:9" ht="13.5" customHeight="1">
      <c r="G253" s="356"/>
      <c r="I253" s="356"/>
    </row>
    <row r="254" spans="7:9" ht="13.5" customHeight="1">
      <c r="G254" s="356"/>
      <c r="I254" s="356"/>
    </row>
    <row r="255" spans="7:9" ht="13.5" customHeight="1">
      <c r="G255" s="356"/>
      <c r="I255" s="356"/>
    </row>
    <row r="256" spans="7:9" ht="13.5" customHeight="1">
      <c r="G256" s="356"/>
      <c r="I256" s="356"/>
    </row>
    <row r="257" spans="7:9" ht="13.5" customHeight="1">
      <c r="G257" s="356"/>
      <c r="I257" s="356"/>
    </row>
    <row r="258" spans="7:9" ht="13.5" customHeight="1">
      <c r="G258" s="356"/>
      <c r="I258" s="356"/>
    </row>
    <row r="259" spans="7:9" ht="13.5" customHeight="1">
      <c r="G259" s="356"/>
      <c r="I259" s="356"/>
    </row>
    <row r="260" spans="7:9" ht="13.5" customHeight="1">
      <c r="G260" s="356"/>
      <c r="I260" s="356"/>
    </row>
    <row r="261" spans="7:9" ht="13.5" customHeight="1">
      <c r="G261" s="356"/>
      <c r="I261" s="356"/>
    </row>
    <row r="262" spans="7:9" ht="13.5" customHeight="1">
      <c r="G262" s="356"/>
      <c r="I262" s="356"/>
    </row>
    <row r="263" spans="7:9" ht="13.5" customHeight="1">
      <c r="G263" s="356"/>
      <c r="I263" s="356"/>
    </row>
    <row r="264" spans="7:9" ht="13.5" customHeight="1">
      <c r="G264" s="356"/>
      <c r="I264" s="356"/>
    </row>
    <row r="265" spans="7:9" ht="13.5" customHeight="1">
      <c r="G265" s="356"/>
      <c r="I265" s="356"/>
    </row>
    <row r="266" spans="7:9" ht="13.5" customHeight="1">
      <c r="G266" s="356"/>
      <c r="I266" s="356"/>
    </row>
    <row r="267" spans="7:9" ht="13.5" customHeight="1">
      <c r="G267" s="356"/>
      <c r="I267" s="356"/>
    </row>
    <row r="268" spans="7:9" ht="13.5" customHeight="1">
      <c r="G268" s="356"/>
      <c r="I268" s="356"/>
    </row>
    <row r="269" spans="7:9" ht="13.5" customHeight="1">
      <c r="G269" s="356"/>
      <c r="I269" s="356"/>
    </row>
    <row r="270" spans="7:9" ht="13.5" customHeight="1">
      <c r="G270" s="356"/>
      <c r="I270" s="356"/>
    </row>
    <row r="271" spans="7:9" ht="13.5" customHeight="1">
      <c r="G271" s="356"/>
      <c r="I271" s="356"/>
    </row>
    <row r="272" spans="7:9" ht="13.5" customHeight="1">
      <c r="G272" s="356"/>
      <c r="I272" s="356"/>
    </row>
    <row r="273" spans="7:9" ht="13.5" customHeight="1">
      <c r="G273" s="356"/>
      <c r="I273" s="356"/>
    </row>
    <row r="274" spans="7:9" ht="13.5" customHeight="1">
      <c r="G274" s="356"/>
      <c r="I274" s="356"/>
    </row>
    <row r="275" spans="7:9" ht="13.5" customHeight="1">
      <c r="G275" s="356"/>
      <c r="I275" s="356"/>
    </row>
    <row r="276" spans="7:9" ht="13.5" customHeight="1">
      <c r="G276" s="356"/>
      <c r="I276" s="356"/>
    </row>
    <row r="277" spans="7:9" ht="13.5" customHeight="1">
      <c r="G277" s="356"/>
      <c r="I277" s="356"/>
    </row>
    <row r="278" spans="7:9" ht="13.5" customHeight="1">
      <c r="G278" s="356"/>
      <c r="I278" s="356"/>
    </row>
    <row r="279" spans="7:9" ht="13.5" customHeight="1">
      <c r="G279" s="356"/>
      <c r="I279" s="356"/>
    </row>
    <row r="280" spans="7:9" ht="13.5" customHeight="1">
      <c r="G280" s="356"/>
      <c r="I280" s="356"/>
    </row>
    <row r="281" spans="7:9" ht="13.5" customHeight="1">
      <c r="G281" s="356"/>
      <c r="I281" s="356"/>
    </row>
    <row r="282" spans="7:9" ht="13.5" customHeight="1">
      <c r="G282" s="356"/>
      <c r="I282" s="356"/>
    </row>
    <row r="283" spans="7:9" ht="13.5" customHeight="1">
      <c r="G283" s="356"/>
      <c r="I283" s="356"/>
    </row>
    <row r="284" spans="7:9" ht="13.5" customHeight="1">
      <c r="G284" s="356"/>
      <c r="I284" s="356"/>
    </row>
    <row r="285" spans="7:9" ht="13.5" customHeight="1">
      <c r="G285" s="356"/>
      <c r="I285" s="356"/>
    </row>
    <row r="286" spans="7:9" ht="13.5" customHeight="1">
      <c r="G286" s="356"/>
      <c r="I286" s="356"/>
    </row>
    <row r="287" spans="7:9" ht="13.5" customHeight="1">
      <c r="G287" s="356"/>
      <c r="I287" s="356"/>
    </row>
    <row r="288" spans="7:9" ht="13.5" customHeight="1">
      <c r="G288" s="356"/>
      <c r="I288" s="356"/>
    </row>
    <row r="289" spans="7:9" ht="13.5" customHeight="1">
      <c r="G289" s="356"/>
      <c r="I289" s="356"/>
    </row>
    <row r="290" spans="7:9" ht="13.5" customHeight="1">
      <c r="G290" s="356"/>
      <c r="I290" s="356"/>
    </row>
    <row r="291" spans="7:9" ht="13.5" customHeight="1">
      <c r="G291" s="356"/>
      <c r="I291" s="356"/>
    </row>
    <row r="292" spans="7:9" ht="13.5" customHeight="1">
      <c r="G292" s="356"/>
      <c r="I292" s="356"/>
    </row>
    <row r="293" spans="7:9" ht="13.5" customHeight="1">
      <c r="G293" s="356"/>
      <c r="I293" s="356"/>
    </row>
    <row r="294" spans="7:9" ht="13.5" customHeight="1">
      <c r="G294" s="356"/>
      <c r="I294" s="356"/>
    </row>
    <row r="295" spans="7:9" ht="13.5" customHeight="1">
      <c r="G295" s="356"/>
      <c r="I295" s="356"/>
    </row>
    <row r="296" spans="7:9" ht="13.5" customHeight="1">
      <c r="G296" s="356"/>
      <c r="I296" s="356"/>
    </row>
    <row r="297" spans="7:9" ht="13.5" customHeight="1">
      <c r="G297" s="356"/>
      <c r="I297" s="356"/>
    </row>
    <row r="298" spans="7:9" ht="13.5" customHeight="1">
      <c r="G298" s="356"/>
      <c r="I298" s="356"/>
    </row>
    <row r="299" spans="7:9" ht="13.5" customHeight="1">
      <c r="G299" s="356"/>
      <c r="I299" s="356"/>
    </row>
    <row r="300" spans="7:9" ht="13.5" customHeight="1">
      <c r="G300" s="356"/>
      <c r="I300" s="356"/>
    </row>
    <row r="301" spans="7:9" ht="13.5" customHeight="1">
      <c r="G301" s="356"/>
      <c r="I301" s="356"/>
    </row>
    <row r="302" spans="7:9" ht="13.5" customHeight="1">
      <c r="G302" s="356"/>
      <c r="I302" s="356"/>
    </row>
    <row r="303" spans="7:9" ht="13.5" customHeight="1">
      <c r="G303" s="356"/>
      <c r="I303" s="356"/>
    </row>
    <row r="304" spans="7:9" ht="13.5" customHeight="1">
      <c r="G304" s="356"/>
      <c r="I304" s="356"/>
    </row>
  </sheetData>
  <mergeCells count="14">
    <mergeCell ref="J3:J5"/>
    <mergeCell ref="K3:K5"/>
    <mergeCell ref="L3:L5"/>
    <mergeCell ref="C23:C24"/>
    <mergeCell ref="H1:I1"/>
    <mergeCell ref="A3:A5"/>
    <mergeCell ref="B3:B5"/>
    <mergeCell ref="C3:C5"/>
    <mergeCell ref="D3:D5"/>
    <mergeCell ref="E3:E5"/>
    <mergeCell ref="F3:F5"/>
    <mergeCell ref="G3:G5"/>
    <mergeCell ref="H3:H5"/>
    <mergeCell ref="I3:I5"/>
  </mergeCells>
  <phoneticPr fontId="3"/>
  <printOptions horizontalCentered="1" gridLinesSet="0"/>
  <pageMargins left="0.39370078740157483" right="0.39370078740157483" top="0.59055118110236227" bottom="0.51181102362204722" header="0.39370078740157483" footer="0.31496062992125984"/>
  <pageSetup paperSize="9" scale="93" fitToHeight="0" orientation="landscape" horizontalDpi="4294967292" verticalDpi="400" r:id="rId1"/>
  <headerFooter scaleWithDoc="0">
    <oddFooter>&amp;C&amp;"ＭＳ Ｐゴシック,標準"&amp;9( &amp;P / &amp;N )</oddFooter>
  </headerFooter>
  <rowBreaks count="1" manualBreakCount="1">
    <brk id="3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3"/>
  <sheetViews>
    <sheetView showGridLines="0" zoomScale="90" zoomScaleNormal="90" workbookViewId="0">
      <selection sqref="A1:E1"/>
    </sheetView>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243</v>
      </c>
    </row>
    <row r="6" spans="1:5" ht="30" customHeight="1">
      <c r="A6" s="6"/>
    </row>
    <row r="7" spans="1:5" ht="30" customHeight="1">
      <c r="A7" s="6" t="s">
        <v>244</v>
      </c>
    </row>
    <row r="8" spans="1:5" ht="30" customHeight="1">
      <c r="A8" s="6"/>
    </row>
    <row r="9" spans="1:5" ht="30" customHeight="1">
      <c r="A9" s="6"/>
    </row>
    <row r="10" spans="1:5" ht="30" customHeight="1">
      <c r="A10" s="6"/>
    </row>
    <row r="11" spans="1:5" ht="30" customHeight="1">
      <c r="A11" s="6"/>
    </row>
    <row r="12" spans="1:5" ht="30" customHeight="1">
      <c r="A12" s="6"/>
    </row>
    <row r="13" spans="1:5" ht="30" customHeight="1">
      <c r="A13" s="6"/>
    </row>
  </sheetData>
  <sheetProtection insertRows="0" deleteRows="0" sort="0" autoFilter="0"/>
  <phoneticPr fontId="3"/>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oddFooter>&amp;C&amp;"ＭＳ Ｐゴシック,標準"&amp;9( &amp;P /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329</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247</v>
      </c>
      <c r="B3" s="385">
        <v>201</v>
      </c>
      <c r="C3" s="386" t="s">
        <v>336</v>
      </c>
      <c r="D3" s="387" t="s">
        <v>337</v>
      </c>
      <c r="E3" s="387"/>
      <c r="F3" s="387"/>
      <c r="G3" s="387"/>
      <c r="H3" s="387"/>
      <c r="I3" s="387"/>
      <c r="J3" s="388"/>
      <c r="K3" s="389" t="s">
        <v>338</v>
      </c>
      <c r="L3" s="390"/>
      <c r="M3" s="389" t="s">
        <v>339</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201</v>
      </c>
      <c r="BF3" s="386" t="s">
        <v>335</v>
      </c>
      <c r="BG3" s="398" t="s">
        <v>323</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201</v>
      </c>
      <c r="DI3" s="386" t="s">
        <v>335</v>
      </c>
      <c r="DJ3" s="398" t="s">
        <v>323</v>
      </c>
      <c r="DK3" s="398"/>
      <c r="DL3" s="398"/>
      <c r="DM3" s="398"/>
      <c r="DN3" s="398"/>
      <c r="DO3" s="398"/>
      <c r="DP3" s="399"/>
      <c r="DQ3" s="389" t="s">
        <v>338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201</v>
      </c>
      <c r="FL3" s="386" t="s">
        <v>335</v>
      </c>
      <c r="FM3" s="398" t="s">
        <v>323</v>
      </c>
      <c r="FN3" s="398"/>
      <c r="FO3" s="398"/>
      <c r="FP3" s="398"/>
      <c r="FQ3" s="398"/>
      <c r="FR3" s="398"/>
      <c r="FS3" s="399"/>
      <c r="FT3" s="389" t="s">
        <v>338</v>
      </c>
      <c r="FU3" s="390"/>
      <c r="FV3" s="389" t="s">
        <v>339</v>
      </c>
      <c r="FW3" s="390"/>
      <c r="FX3" s="391" t="s">
        <v>769</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56.25</v>
      </c>
      <c r="E5" s="433" t="s">
        <v>350</v>
      </c>
      <c r="F5" s="434">
        <v>2.7</v>
      </c>
      <c r="G5" s="435" t="s">
        <v>351</v>
      </c>
      <c r="H5" s="436"/>
      <c r="I5" s="437">
        <v>151.9</v>
      </c>
      <c r="J5" s="438"/>
      <c r="K5" s="439">
        <v>180</v>
      </c>
      <c r="L5" s="440"/>
      <c r="M5" s="439">
        <v>50</v>
      </c>
      <c r="N5" s="440"/>
      <c r="O5" s="1470" t="s">
        <v>754</v>
      </c>
      <c r="P5" s="441"/>
      <c r="Q5" s="1471" t="s">
        <v>755</v>
      </c>
      <c r="R5" s="442"/>
      <c r="S5" s="1472" t="s">
        <v>756</v>
      </c>
      <c r="T5" s="443"/>
      <c r="U5" s="1473" t="s">
        <v>757</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56.25</v>
      </c>
      <c r="BH5" s="433" t="s">
        <v>350</v>
      </c>
      <c r="BI5" s="434">
        <v>2.7</v>
      </c>
      <c r="BJ5" s="435" t="s">
        <v>351</v>
      </c>
      <c r="BK5" s="436"/>
      <c r="BL5" s="437">
        <v>151.9</v>
      </c>
      <c r="BM5" s="438"/>
      <c r="BN5" s="439">
        <v>180</v>
      </c>
      <c r="BO5" s="440"/>
      <c r="BP5" s="439">
        <v>50</v>
      </c>
      <c r="BQ5" s="440"/>
      <c r="BR5" s="1470" t="s">
        <v>759</v>
      </c>
      <c r="BS5" s="441"/>
      <c r="BT5" s="1471" t="s">
        <v>760</v>
      </c>
      <c r="BU5" s="442"/>
      <c r="BV5" s="1472" t="s">
        <v>756</v>
      </c>
      <c r="BW5" s="443"/>
      <c r="BX5" s="1473" t="s">
        <v>761</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56.25</v>
      </c>
      <c r="DK5" s="433" t="s">
        <v>350</v>
      </c>
      <c r="DL5" s="434">
        <v>2.7</v>
      </c>
      <c r="DM5" s="435" t="s">
        <v>351</v>
      </c>
      <c r="DN5" s="436"/>
      <c r="DO5" s="437">
        <v>151.9</v>
      </c>
      <c r="DP5" s="438"/>
      <c r="DQ5" s="439">
        <v>180</v>
      </c>
      <c r="DR5" s="440"/>
      <c r="DS5" s="439">
        <v>50</v>
      </c>
      <c r="DT5" s="440"/>
      <c r="DU5" s="1470" t="s">
        <v>762</v>
      </c>
      <c r="DV5" s="441"/>
      <c r="DW5" s="1471" t="s">
        <v>763</v>
      </c>
      <c r="DX5" s="442"/>
      <c r="DY5" s="1472" t="s">
        <v>756</v>
      </c>
      <c r="DZ5" s="443"/>
      <c r="EA5" s="1473" t="s">
        <v>764</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56.25</v>
      </c>
      <c r="FN5" s="433" t="s">
        <v>350</v>
      </c>
      <c r="FO5" s="434">
        <v>2.7</v>
      </c>
      <c r="FP5" s="435" t="s">
        <v>351</v>
      </c>
      <c r="FQ5" s="436"/>
      <c r="FR5" s="437">
        <v>151.9</v>
      </c>
      <c r="FS5" s="438"/>
      <c r="FT5" s="439">
        <v>180</v>
      </c>
      <c r="FU5" s="440"/>
      <c r="FV5" s="439">
        <v>50</v>
      </c>
      <c r="FW5" s="440"/>
      <c r="FX5" s="1470" t="s">
        <v>765</v>
      </c>
      <c r="FY5" s="441"/>
      <c r="FZ5" s="1471" t="s">
        <v>766</v>
      </c>
      <c r="GA5" s="442"/>
      <c r="GB5" s="1472" t="s">
        <v>767</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263</v>
      </c>
      <c r="E9" s="522" t="s">
        <v>264</v>
      </c>
      <c r="F9" s="523" t="s">
        <v>265</v>
      </c>
      <c r="G9" s="524" t="s">
        <v>266</v>
      </c>
      <c r="H9" s="525" t="s">
        <v>267</v>
      </c>
      <c r="I9" s="526" t="s">
        <v>268</v>
      </c>
      <c r="J9" s="525" t="s">
        <v>269</v>
      </c>
      <c r="K9" s="526" t="s">
        <v>268</v>
      </c>
      <c r="L9" s="525" t="s">
        <v>267</v>
      </c>
      <c r="M9" s="526" t="s">
        <v>268</v>
      </c>
      <c r="N9" s="525" t="s">
        <v>267</v>
      </c>
      <c r="O9" s="526" t="s">
        <v>268</v>
      </c>
      <c r="P9" s="525" t="s">
        <v>269</v>
      </c>
      <c r="Q9" s="526" t="s">
        <v>268</v>
      </c>
      <c r="R9" s="525" t="s">
        <v>267</v>
      </c>
      <c r="S9" s="526" t="s">
        <v>268</v>
      </c>
      <c r="T9" s="525" t="s">
        <v>269</v>
      </c>
      <c r="U9" s="526" t="s">
        <v>268</v>
      </c>
      <c r="V9" s="525" t="s">
        <v>267</v>
      </c>
      <c r="W9" s="526" t="s">
        <v>268</v>
      </c>
      <c r="X9" s="525" t="s">
        <v>267</v>
      </c>
      <c r="Y9" s="526" t="s">
        <v>268</v>
      </c>
      <c r="Z9" s="525" t="s">
        <v>267</v>
      </c>
      <c r="AA9" s="526" t="s">
        <v>268</v>
      </c>
      <c r="AB9" s="525" t="s">
        <v>269</v>
      </c>
      <c r="AC9" s="526" t="s">
        <v>268</v>
      </c>
      <c r="AD9" s="525" t="s">
        <v>267</v>
      </c>
      <c r="AE9" s="526" t="s">
        <v>268</v>
      </c>
      <c r="AF9" s="525" t="s">
        <v>267</v>
      </c>
      <c r="AG9" s="526" t="s">
        <v>268</v>
      </c>
      <c r="AH9" s="525" t="s">
        <v>267</v>
      </c>
      <c r="AI9" s="526" t="s">
        <v>268</v>
      </c>
      <c r="AJ9" s="525" t="s">
        <v>267</v>
      </c>
      <c r="AK9" s="526" t="s">
        <v>268</v>
      </c>
      <c r="AL9" s="525" t="s">
        <v>270</v>
      </c>
      <c r="AM9" s="526" t="s">
        <v>268</v>
      </c>
      <c r="AN9" s="525" t="s">
        <v>269</v>
      </c>
      <c r="AO9" s="526" t="s">
        <v>268</v>
      </c>
      <c r="AP9" s="525" t="s">
        <v>267</v>
      </c>
      <c r="AQ9" s="526" t="s">
        <v>268</v>
      </c>
      <c r="AR9" s="525" t="s">
        <v>269</v>
      </c>
      <c r="AS9" s="526" t="s">
        <v>268</v>
      </c>
      <c r="AT9" s="525" t="s">
        <v>269</v>
      </c>
      <c r="AU9" s="526" t="s">
        <v>268</v>
      </c>
      <c r="AV9" s="525" t="s">
        <v>267</v>
      </c>
      <c r="AW9" s="526" t="s">
        <v>268</v>
      </c>
      <c r="AX9" s="525" t="s">
        <v>269</v>
      </c>
      <c r="AY9" s="526" t="s">
        <v>268</v>
      </c>
      <c r="AZ9" s="525" t="s">
        <v>267</v>
      </c>
      <c r="BA9" s="526" t="s">
        <v>268</v>
      </c>
      <c r="BB9" s="527" t="s">
        <v>271</v>
      </c>
      <c r="BC9" s="490"/>
      <c r="BD9" s="519" t="s">
        <v>260</v>
      </c>
      <c r="BE9" s="520" t="s">
        <v>261</v>
      </c>
      <c r="BF9" s="521" t="s">
        <v>262</v>
      </c>
      <c r="BG9" s="521" t="s">
        <v>272</v>
      </c>
      <c r="BH9" s="522" t="s">
        <v>264</v>
      </c>
      <c r="BI9" s="523" t="s">
        <v>265</v>
      </c>
      <c r="BJ9" s="524" t="s">
        <v>266</v>
      </c>
      <c r="BK9" s="525" t="s">
        <v>267</v>
      </c>
      <c r="BL9" s="526" t="s">
        <v>268</v>
      </c>
      <c r="BM9" s="525" t="s">
        <v>269</v>
      </c>
      <c r="BN9" s="526" t="s">
        <v>268</v>
      </c>
      <c r="BO9" s="525" t="s">
        <v>267</v>
      </c>
      <c r="BP9" s="526" t="s">
        <v>268</v>
      </c>
      <c r="BQ9" s="525" t="s">
        <v>269</v>
      </c>
      <c r="BR9" s="526" t="s">
        <v>268</v>
      </c>
      <c r="BS9" s="525" t="s">
        <v>267</v>
      </c>
      <c r="BT9" s="526" t="s">
        <v>268</v>
      </c>
      <c r="BU9" s="525" t="s">
        <v>269</v>
      </c>
      <c r="BV9" s="526" t="s">
        <v>268</v>
      </c>
      <c r="BW9" s="525" t="s">
        <v>269</v>
      </c>
      <c r="BX9" s="526" t="s">
        <v>268</v>
      </c>
      <c r="BY9" s="525" t="s">
        <v>267</v>
      </c>
      <c r="BZ9" s="526" t="s">
        <v>268</v>
      </c>
      <c r="CA9" s="525" t="s">
        <v>267</v>
      </c>
      <c r="CB9" s="526" t="s">
        <v>268</v>
      </c>
      <c r="CC9" s="525" t="s">
        <v>267</v>
      </c>
      <c r="CD9" s="526" t="s">
        <v>268</v>
      </c>
      <c r="CE9" s="525" t="s">
        <v>269</v>
      </c>
      <c r="CF9" s="526" t="s">
        <v>268</v>
      </c>
      <c r="CG9" s="525" t="s">
        <v>269</v>
      </c>
      <c r="CH9" s="526" t="s">
        <v>268</v>
      </c>
      <c r="CI9" s="525" t="s">
        <v>267</v>
      </c>
      <c r="CJ9" s="526" t="s">
        <v>268</v>
      </c>
      <c r="CK9" s="525" t="s">
        <v>267</v>
      </c>
      <c r="CL9" s="526" t="s">
        <v>268</v>
      </c>
      <c r="CM9" s="525" t="s">
        <v>267</v>
      </c>
      <c r="CN9" s="526" t="s">
        <v>268</v>
      </c>
      <c r="CO9" s="525" t="s">
        <v>269</v>
      </c>
      <c r="CP9" s="526" t="s">
        <v>268</v>
      </c>
      <c r="CQ9" s="525" t="s">
        <v>267</v>
      </c>
      <c r="CR9" s="526" t="s">
        <v>268</v>
      </c>
      <c r="CS9" s="525" t="s">
        <v>267</v>
      </c>
      <c r="CT9" s="526" t="s">
        <v>268</v>
      </c>
      <c r="CU9" s="525" t="s">
        <v>267</v>
      </c>
      <c r="CV9" s="526" t="s">
        <v>268</v>
      </c>
      <c r="CW9" s="525" t="s">
        <v>267</v>
      </c>
      <c r="CX9" s="526" t="s">
        <v>268</v>
      </c>
      <c r="CY9" s="525" t="s">
        <v>267</v>
      </c>
      <c r="CZ9" s="526" t="s">
        <v>268</v>
      </c>
      <c r="DA9" s="525" t="s">
        <v>270</v>
      </c>
      <c r="DB9" s="526" t="s">
        <v>268</v>
      </c>
      <c r="DC9" s="525" t="s">
        <v>267</v>
      </c>
      <c r="DD9" s="526" t="s">
        <v>268</v>
      </c>
      <c r="DE9" s="527" t="s">
        <v>271</v>
      </c>
      <c r="DF9" s="490"/>
      <c r="DG9" s="519" t="s">
        <v>260</v>
      </c>
      <c r="DH9" s="520" t="s">
        <v>261</v>
      </c>
      <c r="DI9" s="521" t="s">
        <v>262</v>
      </c>
      <c r="DJ9" s="521" t="s">
        <v>272</v>
      </c>
      <c r="DK9" s="522" t="s">
        <v>264</v>
      </c>
      <c r="DL9" s="523" t="s">
        <v>265</v>
      </c>
      <c r="DM9" s="524" t="s">
        <v>273</v>
      </c>
      <c r="DN9" s="525" t="s">
        <v>267</v>
      </c>
      <c r="DO9" s="526" t="s">
        <v>268</v>
      </c>
      <c r="DP9" s="525" t="s">
        <v>267</v>
      </c>
      <c r="DQ9" s="526" t="s">
        <v>268</v>
      </c>
      <c r="DR9" s="525" t="s">
        <v>267</v>
      </c>
      <c r="DS9" s="526" t="s">
        <v>268</v>
      </c>
      <c r="DT9" s="525" t="s">
        <v>269</v>
      </c>
      <c r="DU9" s="526" t="s">
        <v>268</v>
      </c>
      <c r="DV9" s="525" t="s">
        <v>269</v>
      </c>
      <c r="DW9" s="526" t="s">
        <v>268</v>
      </c>
      <c r="DX9" s="525" t="s">
        <v>270</v>
      </c>
      <c r="DY9" s="526" t="s">
        <v>268</v>
      </c>
      <c r="DZ9" s="525" t="s">
        <v>269</v>
      </c>
      <c r="EA9" s="526" t="s">
        <v>268</v>
      </c>
      <c r="EB9" s="525" t="s">
        <v>267</v>
      </c>
      <c r="EC9" s="526" t="s">
        <v>268</v>
      </c>
      <c r="ED9" s="525" t="s">
        <v>269</v>
      </c>
      <c r="EE9" s="526" t="s">
        <v>268</v>
      </c>
      <c r="EF9" s="525" t="s">
        <v>267</v>
      </c>
      <c r="EG9" s="526" t="s">
        <v>268</v>
      </c>
      <c r="EH9" s="525" t="s">
        <v>270</v>
      </c>
      <c r="EI9" s="526" t="s">
        <v>268</v>
      </c>
      <c r="EJ9" s="525" t="s">
        <v>270</v>
      </c>
      <c r="EK9" s="526" t="s">
        <v>268</v>
      </c>
      <c r="EL9" s="525" t="s">
        <v>267</v>
      </c>
      <c r="EM9" s="526" t="s">
        <v>268</v>
      </c>
      <c r="EN9" s="525" t="s">
        <v>269</v>
      </c>
      <c r="EO9" s="526" t="s">
        <v>268</v>
      </c>
      <c r="EP9" s="525" t="s">
        <v>269</v>
      </c>
      <c r="EQ9" s="526" t="s">
        <v>268</v>
      </c>
      <c r="ER9" s="525" t="s">
        <v>267</v>
      </c>
      <c r="ES9" s="526" t="s">
        <v>268</v>
      </c>
      <c r="ET9" s="525" t="s">
        <v>269</v>
      </c>
      <c r="EU9" s="526" t="s">
        <v>268</v>
      </c>
      <c r="EV9" s="525" t="s">
        <v>267</v>
      </c>
      <c r="EW9" s="526" t="s">
        <v>268</v>
      </c>
      <c r="EX9" s="525" t="s">
        <v>269</v>
      </c>
      <c r="EY9" s="526" t="s">
        <v>268</v>
      </c>
      <c r="EZ9" s="525" t="s">
        <v>267</v>
      </c>
      <c r="FA9" s="526" t="s">
        <v>268</v>
      </c>
      <c r="FB9" s="525" t="s">
        <v>269</v>
      </c>
      <c r="FC9" s="526" t="s">
        <v>268</v>
      </c>
      <c r="FD9" s="525" t="s">
        <v>269</v>
      </c>
      <c r="FE9" s="526" t="s">
        <v>268</v>
      </c>
      <c r="FF9" s="525" t="s">
        <v>267</v>
      </c>
      <c r="FG9" s="526" t="s">
        <v>268</v>
      </c>
      <c r="FH9" s="527" t="s">
        <v>271</v>
      </c>
      <c r="FI9" s="528"/>
      <c r="FJ9" s="529" t="s">
        <v>260</v>
      </c>
      <c r="FK9" s="520" t="s">
        <v>261</v>
      </c>
      <c r="FL9" s="521" t="s">
        <v>262</v>
      </c>
      <c r="FM9" s="521" t="s">
        <v>263</v>
      </c>
      <c r="FN9" s="522" t="s">
        <v>274</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77</v>
      </c>
      <c r="D10" s="542">
        <f>ROUND(11.03*0.85,2)</f>
        <v>9.3800000000000008</v>
      </c>
      <c r="E10" s="540" t="s">
        <v>326</v>
      </c>
      <c r="F10" s="541" t="s">
        <v>197</v>
      </c>
      <c r="G10" s="543">
        <v>0</v>
      </c>
      <c r="H10" s="544">
        <f>ROUND(ROUND(11.03*0.85,2)*0.34*0,0)</f>
        <v>0</v>
      </c>
      <c r="I10" s="545">
        <v>0</v>
      </c>
      <c r="J10" s="546">
        <f>ROUND(ROUND(11.03*0.85,2)*0.34*0,0)</f>
        <v>0</v>
      </c>
      <c r="K10" s="547">
        <v>0</v>
      </c>
      <c r="L10" s="546">
        <f>ROUND(ROUND(11.03*0.85,2)*0.34*0,0)</f>
        <v>0</v>
      </c>
      <c r="M10" s="547">
        <v>0</v>
      </c>
      <c r="N10" s="546">
        <f>ROUND(ROUND(11.03*0.85,2)*0.34*0,0)</f>
        <v>0</v>
      </c>
      <c r="O10" s="547">
        <v>0</v>
      </c>
      <c r="P10" s="546">
        <f>ROUND(ROUND(11.03*0.85,2)*0.34*0,0)</f>
        <v>0</v>
      </c>
      <c r="Q10" s="547">
        <v>0</v>
      </c>
      <c r="R10" s="546">
        <f>ROUND(ROUND(11.03*0.85,2)*0.34*0,0)</f>
        <v>0</v>
      </c>
      <c r="S10" s="547">
        <v>0</v>
      </c>
      <c r="T10" s="546">
        <f>ROUND(ROUND(11.03*0.85,2)*0.34*0,0)</f>
        <v>0</v>
      </c>
      <c r="U10" s="547">
        <v>0</v>
      </c>
      <c r="V10" s="546">
        <f>ROUND(ROUND(11.03*0.85,2)*0.34*0,0)</f>
        <v>0</v>
      </c>
      <c r="W10" s="547">
        <v>130</v>
      </c>
      <c r="X10" s="546">
        <f>ROUND(ROUND(11.03*0.85,2)*0.34*130,0)</f>
        <v>415</v>
      </c>
      <c r="Y10" s="547">
        <v>170</v>
      </c>
      <c r="Z10" s="546">
        <f>ROUND(ROUND(11.03*0.85,2)*0.34*170,0)</f>
        <v>542</v>
      </c>
      <c r="AA10" s="547">
        <v>193</v>
      </c>
      <c r="AB10" s="546">
        <f>ROUND(ROUND(11.03*0.85,2)*0.34*193,0)</f>
        <v>616</v>
      </c>
      <c r="AC10" s="547">
        <v>188</v>
      </c>
      <c r="AD10" s="546">
        <f>ROUND(ROUND(11.03*0.85,2)*0.34*188,0)</f>
        <v>600</v>
      </c>
      <c r="AE10" s="547">
        <v>153</v>
      </c>
      <c r="AF10" s="546">
        <f>ROUND(ROUND(11.03*0.85,2)*0.34*153,0)</f>
        <v>488</v>
      </c>
      <c r="AG10" s="547">
        <v>90</v>
      </c>
      <c r="AH10" s="546">
        <f>ROUND(ROUND(11.03*0.85,2)*0.34*90,0)</f>
        <v>287</v>
      </c>
      <c r="AI10" s="547">
        <v>80</v>
      </c>
      <c r="AJ10" s="546">
        <f>ROUND(ROUND(11.03*0.85,2)*0.34*80,0)</f>
        <v>255</v>
      </c>
      <c r="AK10" s="547">
        <v>63</v>
      </c>
      <c r="AL10" s="546">
        <f>ROUND(ROUND(11.03*0.85,2)*0.34*63,0)</f>
        <v>201</v>
      </c>
      <c r="AM10" s="547">
        <v>39</v>
      </c>
      <c r="AN10" s="546">
        <f>ROUND(ROUND(11.03*0.85,2)*0.34*39,0)</f>
        <v>124</v>
      </c>
      <c r="AO10" s="547">
        <v>12</v>
      </c>
      <c r="AP10" s="546">
        <f>ROUND(ROUND(11.03*0.85,2)*0.34*12,0)</f>
        <v>38</v>
      </c>
      <c r="AQ10" s="547">
        <v>0</v>
      </c>
      <c r="AR10" s="546">
        <f>ROUND(ROUND(11.03*0.85,2)*0.34*0,0)</f>
        <v>0</v>
      </c>
      <c r="AS10" s="547">
        <v>0</v>
      </c>
      <c r="AT10" s="546">
        <f>ROUND(ROUND(11.03*0.85,2)*0.34*0,0)</f>
        <v>0</v>
      </c>
      <c r="AU10" s="547">
        <v>0</v>
      </c>
      <c r="AV10" s="546">
        <f>ROUND(ROUND(11.03*0.85,2)*0.34*0,0)</f>
        <v>0</v>
      </c>
      <c r="AW10" s="547">
        <v>0</v>
      </c>
      <c r="AX10" s="546">
        <f>ROUND(ROUND(11.03*0.85,2)*0.34*0,0)</f>
        <v>0</v>
      </c>
      <c r="AY10" s="547">
        <v>0</v>
      </c>
      <c r="AZ10" s="546">
        <f>ROUND(ROUND(11.03*0.85,2)*0.34*0,0)</f>
        <v>0</v>
      </c>
      <c r="BA10" s="547">
        <v>0</v>
      </c>
      <c r="BB10" s="548">
        <f>ROUND(ROUND(11.03*0.85,2)*0.34*0,0)</f>
        <v>0</v>
      </c>
      <c r="BC10" s="549"/>
      <c r="BD10" s="539"/>
      <c r="BE10" s="540"/>
      <c r="BF10" s="541"/>
      <c r="BG10" s="542"/>
      <c r="BH10" s="540"/>
      <c r="BI10" s="541"/>
      <c r="BJ10" s="543">
        <v>0</v>
      </c>
      <c r="BK10" s="544">
        <f>ROUND(ROUND(11.03*0.85,2)*0.34*0,0)</f>
        <v>0</v>
      </c>
      <c r="BL10" s="545">
        <v>0</v>
      </c>
      <c r="BM10" s="546">
        <f>ROUND(ROUND(11.03*0.85,2)*0.34*0,0)</f>
        <v>0</v>
      </c>
      <c r="BN10" s="547">
        <v>0</v>
      </c>
      <c r="BO10" s="546">
        <f>ROUND(ROUND(11.03*0.85,2)*0.34*0,0)</f>
        <v>0</v>
      </c>
      <c r="BP10" s="547">
        <v>0</v>
      </c>
      <c r="BQ10" s="546">
        <f>ROUND(ROUND(11.03*0.85,2)*0.34*0,0)</f>
        <v>0</v>
      </c>
      <c r="BR10" s="547">
        <v>0</v>
      </c>
      <c r="BS10" s="546">
        <f>ROUND(ROUND(11.03*0.85,2)*0.34*0,0)</f>
        <v>0</v>
      </c>
      <c r="BT10" s="547">
        <v>0</v>
      </c>
      <c r="BU10" s="546">
        <f>ROUND(ROUND(11.03*0.85,2)*0.34*0,0)</f>
        <v>0</v>
      </c>
      <c r="BV10" s="547">
        <v>0</v>
      </c>
      <c r="BW10" s="546">
        <f>ROUND(ROUND(11.03*0.85,2)*0.34*0,0)</f>
        <v>0</v>
      </c>
      <c r="BX10" s="547">
        <v>0</v>
      </c>
      <c r="BY10" s="546">
        <f>ROUND(ROUND(11.03*0.85,2)*0.34*0,0)</f>
        <v>0</v>
      </c>
      <c r="BZ10" s="547">
        <v>141</v>
      </c>
      <c r="CA10" s="546">
        <f>ROUND(ROUND(11.03*0.85,2)*0.34*141,0)</f>
        <v>450</v>
      </c>
      <c r="CB10" s="547">
        <v>192</v>
      </c>
      <c r="CC10" s="546">
        <f>ROUND(ROUND(11.03*0.85,2)*0.34*192,0)</f>
        <v>612</v>
      </c>
      <c r="CD10" s="547">
        <v>216</v>
      </c>
      <c r="CE10" s="546">
        <f>ROUND(ROUND(11.03*0.85,2)*0.34*216,0)</f>
        <v>689</v>
      </c>
      <c r="CF10" s="547">
        <v>204</v>
      </c>
      <c r="CG10" s="546">
        <f>ROUND(ROUND(11.03*0.85,2)*0.34*204,0)</f>
        <v>651</v>
      </c>
      <c r="CH10" s="547">
        <v>155</v>
      </c>
      <c r="CI10" s="546">
        <f>ROUND(ROUND(11.03*0.85,2)*0.34*155,0)</f>
        <v>494</v>
      </c>
      <c r="CJ10" s="547">
        <v>65</v>
      </c>
      <c r="CK10" s="546">
        <f>ROUND(ROUND(11.03*0.85,2)*0.34*65,0)</f>
        <v>207</v>
      </c>
      <c r="CL10" s="547">
        <v>63</v>
      </c>
      <c r="CM10" s="546">
        <f>ROUND(ROUND(11.03*0.85,2)*0.34*63,0)</f>
        <v>201</v>
      </c>
      <c r="CN10" s="547">
        <v>51</v>
      </c>
      <c r="CO10" s="546">
        <f>ROUND(ROUND(11.03*0.85,2)*0.34*51,0)</f>
        <v>163</v>
      </c>
      <c r="CP10" s="547">
        <v>37</v>
      </c>
      <c r="CQ10" s="546">
        <f>ROUND(ROUND(11.03*0.85,2)*0.34*37,0)</f>
        <v>118</v>
      </c>
      <c r="CR10" s="547">
        <v>17</v>
      </c>
      <c r="CS10" s="546">
        <f>ROUND(ROUND(11.03*0.85,2)*0.34*17,0)</f>
        <v>54</v>
      </c>
      <c r="CT10" s="547">
        <v>0</v>
      </c>
      <c r="CU10" s="546">
        <f>ROUND(ROUND(11.03*0.85,2)*0.34*0,0)</f>
        <v>0</v>
      </c>
      <c r="CV10" s="547">
        <v>0</v>
      </c>
      <c r="CW10" s="546">
        <f>ROUND(ROUND(11.03*0.85,2)*0.34*0,0)</f>
        <v>0</v>
      </c>
      <c r="CX10" s="547">
        <v>0</v>
      </c>
      <c r="CY10" s="546">
        <f>ROUND(ROUND(11.03*0.85,2)*0.34*0,0)</f>
        <v>0</v>
      </c>
      <c r="CZ10" s="547">
        <v>0</v>
      </c>
      <c r="DA10" s="546">
        <f>ROUND(ROUND(11.03*0.85,2)*0.34*0,0)</f>
        <v>0</v>
      </c>
      <c r="DB10" s="547">
        <v>0</v>
      </c>
      <c r="DC10" s="546">
        <f>ROUND(ROUND(11.03*0.85,2)*0.34*0,0)</f>
        <v>0</v>
      </c>
      <c r="DD10" s="547">
        <v>0</v>
      </c>
      <c r="DE10" s="548">
        <f>ROUND(ROUND(11.03*0.85,2)*0.34*0,0)</f>
        <v>0</v>
      </c>
      <c r="DF10" s="549"/>
      <c r="DG10" s="539"/>
      <c r="DH10" s="540"/>
      <c r="DI10" s="541"/>
      <c r="DJ10" s="542"/>
      <c r="DK10" s="540"/>
      <c r="DL10" s="541"/>
      <c r="DM10" s="543">
        <v>0</v>
      </c>
      <c r="DN10" s="544">
        <f>ROUND(ROUND(11.03*0.85,2)*0.34*0,0)</f>
        <v>0</v>
      </c>
      <c r="DO10" s="545">
        <v>0</v>
      </c>
      <c r="DP10" s="546">
        <f>ROUND(ROUND(11.03*0.85,2)*0.34*0,0)</f>
        <v>0</v>
      </c>
      <c r="DQ10" s="547">
        <v>0</v>
      </c>
      <c r="DR10" s="546">
        <f>ROUND(ROUND(11.03*0.85,2)*0.34*0,0)</f>
        <v>0</v>
      </c>
      <c r="DS10" s="547">
        <v>0</v>
      </c>
      <c r="DT10" s="546">
        <f>ROUND(ROUND(11.03*0.85,2)*0.34*0,0)</f>
        <v>0</v>
      </c>
      <c r="DU10" s="547">
        <v>0</v>
      </c>
      <c r="DV10" s="546">
        <f>ROUND(ROUND(11.03*0.85,2)*0.34*0,0)</f>
        <v>0</v>
      </c>
      <c r="DW10" s="547">
        <v>0</v>
      </c>
      <c r="DX10" s="546">
        <f>ROUND(ROUND(11.03*0.85,2)*0.34*0,0)</f>
        <v>0</v>
      </c>
      <c r="DY10" s="547">
        <v>0</v>
      </c>
      <c r="DZ10" s="546">
        <f>ROUND(ROUND(11.03*0.85,2)*0.34*0,0)</f>
        <v>0</v>
      </c>
      <c r="EA10" s="547">
        <v>0</v>
      </c>
      <c r="EB10" s="546">
        <f>ROUND(ROUND(11.03*0.85,2)*0.34*0,0)</f>
        <v>0</v>
      </c>
      <c r="EC10" s="547">
        <v>302</v>
      </c>
      <c r="ED10" s="546">
        <f>ROUND(ROUND(11.03*0.85,2)*0.34*302,0)</f>
        <v>963</v>
      </c>
      <c r="EE10" s="547">
        <v>369</v>
      </c>
      <c r="EF10" s="546">
        <f>ROUND(ROUND(11.03*0.85,2)*0.34*369,0)</f>
        <v>1177</v>
      </c>
      <c r="EG10" s="547">
        <v>403</v>
      </c>
      <c r="EH10" s="546">
        <f>ROUND(ROUND(11.03*0.85,2)*0.34*403,0)</f>
        <v>1285</v>
      </c>
      <c r="EI10" s="547">
        <v>383</v>
      </c>
      <c r="EJ10" s="546">
        <f>ROUND(ROUND(11.03*0.85,2)*0.34*383,0)</f>
        <v>1221</v>
      </c>
      <c r="EK10" s="547">
        <v>316</v>
      </c>
      <c r="EL10" s="546">
        <f>ROUND(ROUND(11.03*0.85,2)*0.34*316,0)</f>
        <v>1008</v>
      </c>
      <c r="EM10" s="547">
        <v>220</v>
      </c>
      <c r="EN10" s="546">
        <f>ROUND(ROUND(11.03*0.85,2)*0.34*220,0)</f>
        <v>702</v>
      </c>
      <c r="EO10" s="547">
        <v>112</v>
      </c>
      <c r="EP10" s="546">
        <f>ROUND(ROUND(11.03*0.85,2)*0.34*112,0)</f>
        <v>357</v>
      </c>
      <c r="EQ10" s="547">
        <v>42</v>
      </c>
      <c r="ER10" s="546">
        <f>ROUND(ROUND(11.03*0.85,2)*0.34*42,0)</f>
        <v>134</v>
      </c>
      <c r="ES10" s="547">
        <v>19</v>
      </c>
      <c r="ET10" s="546">
        <f>ROUND(ROUND(11.03*0.85,2)*0.34*19,0)</f>
        <v>61</v>
      </c>
      <c r="EU10" s="547">
        <v>2</v>
      </c>
      <c r="EV10" s="546">
        <f>ROUND(ROUND(11.03*0.85,2)*0.34*2,0)</f>
        <v>6</v>
      </c>
      <c r="EW10" s="547">
        <v>0</v>
      </c>
      <c r="EX10" s="546">
        <f>ROUND(ROUND(11.03*0.85,2)*0.34*0,0)</f>
        <v>0</v>
      </c>
      <c r="EY10" s="547">
        <v>0</v>
      </c>
      <c r="EZ10" s="546">
        <f>ROUND(ROUND(11.03*0.85,2)*0.34*0,0)</f>
        <v>0</v>
      </c>
      <c r="FA10" s="547">
        <v>0</v>
      </c>
      <c r="FB10" s="546">
        <f>ROUND(ROUND(11.03*0.85,2)*0.34*0,0)</f>
        <v>0</v>
      </c>
      <c r="FC10" s="547">
        <v>0</v>
      </c>
      <c r="FD10" s="546">
        <f>ROUND(ROUND(11.03*0.85,2)*0.34*0,0)</f>
        <v>0</v>
      </c>
      <c r="FE10" s="547">
        <v>0</v>
      </c>
      <c r="FF10" s="546">
        <f>ROUND(ROUND(11.03*0.85,2)*0.34*0,0)</f>
        <v>0</v>
      </c>
      <c r="FG10" s="547">
        <v>0</v>
      </c>
      <c r="FH10" s="548">
        <f>ROUND(ROUND(11.03*0.85,2)*0.34*0,0)</f>
        <v>0</v>
      </c>
      <c r="FI10" s="550"/>
      <c r="FJ10" s="551"/>
      <c r="FK10" s="540"/>
      <c r="FL10" s="541"/>
      <c r="FM10" s="542"/>
      <c r="FN10" s="540"/>
      <c r="FO10" s="541"/>
      <c r="FP10" s="552"/>
      <c r="FQ10" s="545"/>
      <c r="FR10" s="544" t="s">
        <v>275</v>
      </c>
      <c r="FS10" s="553"/>
      <c r="FT10" s="545"/>
      <c r="FU10" s="554" t="s">
        <v>275</v>
      </c>
      <c r="FV10" s="555" t="s">
        <v>276</v>
      </c>
      <c r="FW10" s="556"/>
      <c r="FX10" s="557" t="s">
        <v>277</v>
      </c>
      <c r="FY10" s="558"/>
      <c r="FZ10" s="559" t="s">
        <v>278</v>
      </c>
      <c r="GA10" s="560"/>
      <c r="GB10" s="561" t="s">
        <v>331</v>
      </c>
      <c r="GC10" s="562"/>
      <c r="GD10" s="563" t="s">
        <v>333</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279</v>
      </c>
      <c r="FS11" s="578"/>
      <c r="FT11" s="573"/>
      <c r="FU11" s="579" t="s">
        <v>275</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275</v>
      </c>
      <c r="FS12" s="578"/>
      <c r="FT12" s="573"/>
      <c r="FU12" s="579" t="s">
        <v>279</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275</v>
      </c>
      <c r="FS13" s="613"/>
      <c r="FT13" s="608"/>
      <c r="FU13" s="614" t="s">
        <v>275</v>
      </c>
      <c r="FV13" s="580"/>
      <c r="FW13" s="581"/>
      <c r="FX13" s="582"/>
      <c r="FY13" s="583"/>
      <c r="FZ13" s="584"/>
      <c r="GA13" s="585"/>
      <c r="GB13" s="586"/>
      <c r="GC13" s="587"/>
      <c r="GD13" s="586"/>
      <c r="GE13" s="588"/>
      <c r="GF13" s="486"/>
      <c r="GG13" s="589"/>
      <c r="GH13" s="589"/>
      <c r="GI13" s="589"/>
      <c r="GJ13" s="404"/>
      <c r="GK13" s="615">
        <v>201</v>
      </c>
      <c r="GL13" s="616"/>
      <c r="GM13" s="617" t="s">
        <v>431</v>
      </c>
      <c r="GN13" s="618">
        <v>11.03</v>
      </c>
      <c r="GO13" s="619">
        <v>0</v>
      </c>
      <c r="GP13" s="619">
        <v>1</v>
      </c>
      <c r="GQ13" s="620">
        <v>0</v>
      </c>
      <c r="GR13" s="621">
        <v>11.03</v>
      </c>
      <c r="GS13" s="565"/>
      <c r="GT13" s="404"/>
      <c r="GU13" s="615">
        <v>201</v>
      </c>
      <c r="GV13" s="616"/>
      <c r="GW13" s="622" t="s">
        <v>432</v>
      </c>
      <c r="GX13" s="623">
        <v>11.03</v>
      </c>
      <c r="GY13" s="624"/>
      <c r="GZ13" s="625">
        <v>0.65</v>
      </c>
      <c r="HA13" s="626">
        <v>7.17</v>
      </c>
      <c r="HB13" s="627"/>
      <c r="HC13" s="517"/>
      <c r="HD13" s="782"/>
      <c r="HE13" s="428"/>
      <c r="HF13" s="377"/>
      <c r="HG13" s="377"/>
    </row>
    <row r="14" spans="1:353" ht="20.100000000000001" customHeight="1">
      <c r="A14" s="628"/>
      <c r="B14" s="629"/>
      <c r="C14" s="629"/>
      <c r="D14" s="630" t="s">
        <v>280</v>
      </c>
      <c r="E14" s="629"/>
      <c r="F14" s="629"/>
      <c r="G14" s="631"/>
      <c r="H14" s="632">
        <f>SUM(H10:H13)</f>
        <v>0</v>
      </c>
      <c r="I14" s="633"/>
      <c r="J14" s="632">
        <f>SUM(J10:J13)</f>
        <v>0</v>
      </c>
      <c r="K14" s="633"/>
      <c r="L14" s="632">
        <f>SUM(L10:L13)</f>
        <v>0</v>
      </c>
      <c r="M14" s="633"/>
      <c r="N14" s="632">
        <f>SUM(N10:N13)</f>
        <v>0</v>
      </c>
      <c r="O14" s="633"/>
      <c r="P14" s="632">
        <f>SUM(P10:P13)</f>
        <v>0</v>
      </c>
      <c r="Q14" s="633"/>
      <c r="R14" s="632">
        <f>SUM(R10:R13)</f>
        <v>0</v>
      </c>
      <c r="S14" s="633"/>
      <c r="T14" s="632">
        <f>SUM(T10:T13)</f>
        <v>0</v>
      </c>
      <c r="U14" s="633"/>
      <c r="V14" s="632">
        <f>SUM(V10:V13)</f>
        <v>0</v>
      </c>
      <c r="W14" s="633"/>
      <c r="X14" s="632">
        <f>SUM(X10:X13)</f>
        <v>415</v>
      </c>
      <c r="Y14" s="633"/>
      <c r="Z14" s="632">
        <f>SUM(Z10:Z13)</f>
        <v>542</v>
      </c>
      <c r="AA14" s="633"/>
      <c r="AB14" s="632">
        <f>SUM(AB10:AB13)</f>
        <v>616</v>
      </c>
      <c r="AC14" s="633"/>
      <c r="AD14" s="632">
        <f>SUM(AD10:AD13)</f>
        <v>600</v>
      </c>
      <c r="AE14" s="633"/>
      <c r="AF14" s="632">
        <f>SUM(AF10:AF13)</f>
        <v>488</v>
      </c>
      <c r="AG14" s="633"/>
      <c r="AH14" s="632">
        <f>SUM(AH10:AH13)</f>
        <v>287</v>
      </c>
      <c r="AI14" s="633"/>
      <c r="AJ14" s="632">
        <f>SUM(AJ10:AJ13)</f>
        <v>255</v>
      </c>
      <c r="AK14" s="633"/>
      <c r="AL14" s="632">
        <f>SUM(AL10:AL13)</f>
        <v>201</v>
      </c>
      <c r="AM14" s="633"/>
      <c r="AN14" s="632">
        <f>SUM(AN10:AN13)</f>
        <v>124</v>
      </c>
      <c r="AO14" s="633"/>
      <c r="AP14" s="632">
        <f>SUM(AP10:AP13)</f>
        <v>38</v>
      </c>
      <c r="AQ14" s="633"/>
      <c r="AR14" s="632">
        <f>SUM(AR10:AR13)</f>
        <v>0</v>
      </c>
      <c r="AS14" s="633"/>
      <c r="AT14" s="632">
        <f>SUM(AT10:AT13)</f>
        <v>0</v>
      </c>
      <c r="AU14" s="633"/>
      <c r="AV14" s="632">
        <f>SUM(AV10:AV13)</f>
        <v>0</v>
      </c>
      <c r="AW14" s="633"/>
      <c r="AX14" s="632">
        <f>SUM(AX10:AX13)</f>
        <v>0</v>
      </c>
      <c r="AY14" s="633"/>
      <c r="AZ14" s="632">
        <f>SUM(AZ10:AZ13)</f>
        <v>0</v>
      </c>
      <c r="BA14" s="633"/>
      <c r="BB14" s="634">
        <f>SUM(BB10:BB13)</f>
        <v>0</v>
      </c>
      <c r="BC14" s="635"/>
      <c r="BD14" s="628"/>
      <c r="BE14" s="629"/>
      <c r="BF14" s="629"/>
      <c r="BG14" s="630" t="s">
        <v>281</v>
      </c>
      <c r="BH14" s="629"/>
      <c r="BI14" s="629"/>
      <c r="BJ14" s="631"/>
      <c r="BK14" s="632">
        <f>SUM(BK10:BK13)</f>
        <v>0</v>
      </c>
      <c r="BL14" s="633"/>
      <c r="BM14" s="632">
        <f>SUM(BM10:BM13)</f>
        <v>0</v>
      </c>
      <c r="BN14" s="633"/>
      <c r="BO14" s="632">
        <f>SUM(BO10:BO13)</f>
        <v>0</v>
      </c>
      <c r="BP14" s="633"/>
      <c r="BQ14" s="632">
        <f>SUM(BQ10:BQ13)</f>
        <v>0</v>
      </c>
      <c r="BR14" s="633"/>
      <c r="BS14" s="632">
        <f>SUM(BS10:BS13)</f>
        <v>0</v>
      </c>
      <c r="BT14" s="633"/>
      <c r="BU14" s="632">
        <f>SUM(BU10:BU13)</f>
        <v>0</v>
      </c>
      <c r="BV14" s="633"/>
      <c r="BW14" s="632">
        <f>SUM(BW10:BW13)</f>
        <v>0</v>
      </c>
      <c r="BX14" s="633"/>
      <c r="BY14" s="632">
        <f>SUM(BY10:BY13)</f>
        <v>0</v>
      </c>
      <c r="BZ14" s="633"/>
      <c r="CA14" s="632">
        <f>SUM(CA10:CA13)</f>
        <v>450</v>
      </c>
      <c r="CB14" s="633"/>
      <c r="CC14" s="632">
        <f>SUM(CC10:CC13)</f>
        <v>612</v>
      </c>
      <c r="CD14" s="633"/>
      <c r="CE14" s="632">
        <f>SUM(CE10:CE13)</f>
        <v>689</v>
      </c>
      <c r="CF14" s="633"/>
      <c r="CG14" s="632">
        <f>SUM(CG10:CG13)</f>
        <v>651</v>
      </c>
      <c r="CH14" s="633"/>
      <c r="CI14" s="632">
        <f>SUM(CI10:CI13)</f>
        <v>494</v>
      </c>
      <c r="CJ14" s="633"/>
      <c r="CK14" s="632">
        <f>SUM(CK10:CK13)</f>
        <v>207</v>
      </c>
      <c r="CL14" s="633"/>
      <c r="CM14" s="632">
        <f>SUM(CM10:CM13)</f>
        <v>201</v>
      </c>
      <c r="CN14" s="633"/>
      <c r="CO14" s="632">
        <f>SUM(CO10:CO13)</f>
        <v>163</v>
      </c>
      <c r="CP14" s="633"/>
      <c r="CQ14" s="632">
        <f>SUM(CQ10:CQ13)</f>
        <v>118</v>
      </c>
      <c r="CR14" s="633"/>
      <c r="CS14" s="632">
        <f>SUM(CS10:CS13)</f>
        <v>54</v>
      </c>
      <c r="CT14" s="633"/>
      <c r="CU14" s="632">
        <f>SUM(CU10:CU13)</f>
        <v>0</v>
      </c>
      <c r="CV14" s="633"/>
      <c r="CW14" s="632">
        <f>SUM(CW10:CW13)</f>
        <v>0</v>
      </c>
      <c r="CX14" s="633"/>
      <c r="CY14" s="632">
        <f>SUM(CY10:CY13)</f>
        <v>0</v>
      </c>
      <c r="CZ14" s="633"/>
      <c r="DA14" s="632">
        <f>SUM(DA10:DA13)</f>
        <v>0</v>
      </c>
      <c r="DB14" s="633"/>
      <c r="DC14" s="632">
        <f>SUM(DC10:DC13)</f>
        <v>0</v>
      </c>
      <c r="DD14" s="633"/>
      <c r="DE14" s="634">
        <f>SUM(DE10:DE13)</f>
        <v>0</v>
      </c>
      <c r="DF14" s="635"/>
      <c r="DG14" s="628"/>
      <c r="DH14" s="629"/>
      <c r="DI14" s="629"/>
      <c r="DJ14" s="630" t="s">
        <v>282</v>
      </c>
      <c r="DK14" s="629"/>
      <c r="DL14" s="629"/>
      <c r="DM14" s="631"/>
      <c r="DN14" s="632">
        <f>SUM(DN10:DN13)</f>
        <v>0</v>
      </c>
      <c r="DO14" s="633"/>
      <c r="DP14" s="632">
        <f>SUM(DP10:DP13)</f>
        <v>0</v>
      </c>
      <c r="DQ14" s="633"/>
      <c r="DR14" s="632">
        <f>SUM(DR10:DR13)</f>
        <v>0</v>
      </c>
      <c r="DS14" s="633"/>
      <c r="DT14" s="632">
        <f>SUM(DT10:DT13)</f>
        <v>0</v>
      </c>
      <c r="DU14" s="633"/>
      <c r="DV14" s="632">
        <f>SUM(DV10:DV13)</f>
        <v>0</v>
      </c>
      <c r="DW14" s="633"/>
      <c r="DX14" s="632">
        <f>SUM(DX10:DX13)</f>
        <v>0</v>
      </c>
      <c r="DY14" s="633"/>
      <c r="DZ14" s="632">
        <f>SUM(DZ10:DZ13)</f>
        <v>0</v>
      </c>
      <c r="EA14" s="633"/>
      <c r="EB14" s="632">
        <f>SUM(EB10:EB13)</f>
        <v>0</v>
      </c>
      <c r="EC14" s="633"/>
      <c r="ED14" s="632">
        <f>SUM(ED10:ED13)</f>
        <v>963</v>
      </c>
      <c r="EE14" s="633"/>
      <c r="EF14" s="632">
        <f>SUM(EF10:EF13)</f>
        <v>1177</v>
      </c>
      <c r="EG14" s="633"/>
      <c r="EH14" s="632">
        <f>SUM(EH10:EH13)</f>
        <v>1285</v>
      </c>
      <c r="EI14" s="633"/>
      <c r="EJ14" s="632">
        <f>SUM(EJ10:EJ13)</f>
        <v>1221</v>
      </c>
      <c r="EK14" s="633"/>
      <c r="EL14" s="632">
        <f>SUM(EL10:EL13)</f>
        <v>1008</v>
      </c>
      <c r="EM14" s="633"/>
      <c r="EN14" s="632">
        <f>SUM(EN10:EN13)</f>
        <v>702</v>
      </c>
      <c r="EO14" s="633"/>
      <c r="EP14" s="632">
        <f>SUM(EP10:EP13)</f>
        <v>357</v>
      </c>
      <c r="EQ14" s="633"/>
      <c r="ER14" s="632">
        <f>SUM(ER10:ER13)</f>
        <v>134</v>
      </c>
      <c r="ES14" s="633"/>
      <c r="ET14" s="632">
        <f>SUM(ET10:ET13)</f>
        <v>61</v>
      </c>
      <c r="EU14" s="633"/>
      <c r="EV14" s="632">
        <f>SUM(EV10:EV13)</f>
        <v>6</v>
      </c>
      <c r="EW14" s="633"/>
      <c r="EX14" s="632">
        <f>SUM(EX10:EX13)</f>
        <v>0</v>
      </c>
      <c r="EY14" s="633"/>
      <c r="EZ14" s="632">
        <f>SUM(EZ10:EZ13)</f>
        <v>0</v>
      </c>
      <c r="FA14" s="633"/>
      <c r="FB14" s="632">
        <f>SUM(FB10:FB13)</f>
        <v>0</v>
      </c>
      <c r="FC14" s="633"/>
      <c r="FD14" s="632">
        <f>SUM(FD10:FD13)</f>
        <v>0</v>
      </c>
      <c r="FE14" s="633"/>
      <c r="FF14" s="632">
        <f>SUM(FF10:FF13)</f>
        <v>0</v>
      </c>
      <c r="FG14" s="633"/>
      <c r="FH14" s="634">
        <f>SUM(FH10:FH13)</f>
        <v>0</v>
      </c>
      <c r="FI14" s="636"/>
      <c r="FJ14" s="551"/>
      <c r="FK14" s="629"/>
      <c r="FL14" s="629"/>
      <c r="FM14" s="630" t="s">
        <v>280</v>
      </c>
      <c r="FN14" s="629"/>
      <c r="FO14" s="629"/>
      <c r="FP14" s="637"/>
      <c r="FQ14" s="638"/>
      <c r="FR14" s="632">
        <f>SUM(FR10:FR13)</f>
        <v>0</v>
      </c>
      <c r="FS14" s="639"/>
      <c r="FT14" s="638"/>
      <c r="FU14" s="640">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284</v>
      </c>
      <c r="E15" s="647" t="s">
        <v>285</v>
      </c>
      <c r="F15" s="648" t="s">
        <v>104</v>
      </c>
      <c r="G15" s="649" t="s">
        <v>286</v>
      </c>
      <c r="H15" s="650" t="s">
        <v>287</v>
      </c>
      <c r="I15" s="651" t="s">
        <v>288</v>
      </c>
      <c r="J15" s="650" t="s">
        <v>287</v>
      </c>
      <c r="K15" s="651" t="s">
        <v>288</v>
      </c>
      <c r="L15" s="650" t="s">
        <v>289</v>
      </c>
      <c r="M15" s="651" t="s">
        <v>288</v>
      </c>
      <c r="N15" s="650" t="s">
        <v>289</v>
      </c>
      <c r="O15" s="651" t="s">
        <v>288</v>
      </c>
      <c r="P15" s="650" t="s">
        <v>287</v>
      </c>
      <c r="Q15" s="651" t="s">
        <v>288</v>
      </c>
      <c r="R15" s="650" t="s">
        <v>287</v>
      </c>
      <c r="S15" s="651" t="s">
        <v>288</v>
      </c>
      <c r="T15" s="650" t="s">
        <v>289</v>
      </c>
      <c r="U15" s="651" t="s">
        <v>288</v>
      </c>
      <c r="V15" s="650" t="s">
        <v>287</v>
      </c>
      <c r="W15" s="651" t="s">
        <v>288</v>
      </c>
      <c r="X15" s="650" t="s">
        <v>287</v>
      </c>
      <c r="Y15" s="651" t="s">
        <v>288</v>
      </c>
      <c r="Z15" s="650" t="s">
        <v>290</v>
      </c>
      <c r="AA15" s="651" t="s">
        <v>288</v>
      </c>
      <c r="AB15" s="650" t="s">
        <v>290</v>
      </c>
      <c r="AC15" s="651" t="s">
        <v>288</v>
      </c>
      <c r="AD15" s="650" t="s">
        <v>287</v>
      </c>
      <c r="AE15" s="651" t="s">
        <v>288</v>
      </c>
      <c r="AF15" s="650" t="s">
        <v>289</v>
      </c>
      <c r="AG15" s="651" t="s">
        <v>288</v>
      </c>
      <c r="AH15" s="650" t="s">
        <v>287</v>
      </c>
      <c r="AI15" s="651" t="s">
        <v>288</v>
      </c>
      <c r="AJ15" s="650" t="s">
        <v>289</v>
      </c>
      <c r="AK15" s="651" t="s">
        <v>288</v>
      </c>
      <c r="AL15" s="650" t="s">
        <v>289</v>
      </c>
      <c r="AM15" s="651" t="s">
        <v>288</v>
      </c>
      <c r="AN15" s="650" t="s">
        <v>289</v>
      </c>
      <c r="AO15" s="651" t="s">
        <v>288</v>
      </c>
      <c r="AP15" s="650" t="s">
        <v>289</v>
      </c>
      <c r="AQ15" s="651" t="s">
        <v>288</v>
      </c>
      <c r="AR15" s="650" t="s">
        <v>287</v>
      </c>
      <c r="AS15" s="651" t="s">
        <v>288</v>
      </c>
      <c r="AT15" s="650" t="s">
        <v>290</v>
      </c>
      <c r="AU15" s="651" t="s">
        <v>288</v>
      </c>
      <c r="AV15" s="650" t="s">
        <v>287</v>
      </c>
      <c r="AW15" s="651" t="s">
        <v>288</v>
      </c>
      <c r="AX15" s="650" t="s">
        <v>290</v>
      </c>
      <c r="AY15" s="651" t="s">
        <v>288</v>
      </c>
      <c r="AZ15" s="650" t="s">
        <v>289</v>
      </c>
      <c r="BA15" s="651" t="s">
        <v>288</v>
      </c>
      <c r="BB15" s="652" t="s">
        <v>291</v>
      </c>
      <c r="BC15" s="653"/>
      <c r="BD15" s="519" t="s">
        <v>283</v>
      </c>
      <c r="BE15" s="645" t="s">
        <v>261</v>
      </c>
      <c r="BF15" s="646" t="s">
        <v>262</v>
      </c>
      <c r="BG15" s="647" t="s">
        <v>263</v>
      </c>
      <c r="BH15" s="647" t="s">
        <v>285</v>
      </c>
      <c r="BI15" s="648" t="s">
        <v>104</v>
      </c>
      <c r="BJ15" s="649" t="s">
        <v>292</v>
      </c>
      <c r="BK15" s="650" t="s">
        <v>287</v>
      </c>
      <c r="BL15" s="651" t="s">
        <v>288</v>
      </c>
      <c r="BM15" s="650" t="s">
        <v>287</v>
      </c>
      <c r="BN15" s="651" t="s">
        <v>288</v>
      </c>
      <c r="BO15" s="650" t="s">
        <v>287</v>
      </c>
      <c r="BP15" s="651" t="s">
        <v>288</v>
      </c>
      <c r="BQ15" s="650" t="s">
        <v>289</v>
      </c>
      <c r="BR15" s="651" t="s">
        <v>288</v>
      </c>
      <c r="BS15" s="650" t="s">
        <v>287</v>
      </c>
      <c r="BT15" s="651" t="s">
        <v>288</v>
      </c>
      <c r="BU15" s="650" t="s">
        <v>290</v>
      </c>
      <c r="BV15" s="651" t="s">
        <v>288</v>
      </c>
      <c r="BW15" s="650" t="s">
        <v>289</v>
      </c>
      <c r="BX15" s="651" t="s">
        <v>288</v>
      </c>
      <c r="BY15" s="650" t="s">
        <v>289</v>
      </c>
      <c r="BZ15" s="651" t="s">
        <v>288</v>
      </c>
      <c r="CA15" s="650" t="s">
        <v>289</v>
      </c>
      <c r="CB15" s="651" t="s">
        <v>288</v>
      </c>
      <c r="CC15" s="650" t="s">
        <v>289</v>
      </c>
      <c r="CD15" s="651" t="s">
        <v>288</v>
      </c>
      <c r="CE15" s="650" t="s">
        <v>287</v>
      </c>
      <c r="CF15" s="651" t="s">
        <v>288</v>
      </c>
      <c r="CG15" s="650" t="s">
        <v>289</v>
      </c>
      <c r="CH15" s="651" t="s">
        <v>288</v>
      </c>
      <c r="CI15" s="650" t="s">
        <v>290</v>
      </c>
      <c r="CJ15" s="651" t="s">
        <v>288</v>
      </c>
      <c r="CK15" s="650" t="s">
        <v>290</v>
      </c>
      <c r="CL15" s="651" t="s">
        <v>288</v>
      </c>
      <c r="CM15" s="650" t="s">
        <v>287</v>
      </c>
      <c r="CN15" s="651" t="s">
        <v>288</v>
      </c>
      <c r="CO15" s="650" t="s">
        <v>289</v>
      </c>
      <c r="CP15" s="651" t="s">
        <v>288</v>
      </c>
      <c r="CQ15" s="650" t="s">
        <v>289</v>
      </c>
      <c r="CR15" s="651" t="s">
        <v>288</v>
      </c>
      <c r="CS15" s="650" t="s">
        <v>290</v>
      </c>
      <c r="CT15" s="651" t="s">
        <v>288</v>
      </c>
      <c r="CU15" s="650" t="s">
        <v>287</v>
      </c>
      <c r="CV15" s="651" t="s">
        <v>288</v>
      </c>
      <c r="CW15" s="650" t="s">
        <v>287</v>
      </c>
      <c r="CX15" s="651" t="s">
        <v>288</v>
      </c>
      <c r="CY15" s="650" t="s">
        <v>289</v>
      </c>
      <c r="CZ15" s="651" t="s">
        <v>288</v>
      </c>
      <c r="DA15" s="650" t="s">
        <v>287</v>
      </c>
      <c r="DB15" s="651" t="s">
        <v>288</v>
      </c>
      <c r="DC15" s="650" t="s">
        <v>289</v>
      </c>
      <c r="DD15" s="651" t="s">
        <v>288</v>
      </c>
      <c r="DE15" s="652" t="s">
        <v>291</v>
      </c>
      <c r="DF15" s="653"/>
      <c r="DG15" s="519" t="s">
        <v>283</v>
      </c>
      <c r="DH15" s="645" t="s">
        <v>261</v>
      </c>
      <c r="DI15" s="646" t="s">
        <v>262</v>
      </c>
      <c r="DJ15" s="647" t="s">
        <v>284</v>
      </c>
      <c r="DK15" s="647" t="s">
        <v>285</v>
      </c>
      <c r="DL15" s="648" t="s">
        <v>104</v>
      </c>
      <c r="DM15" s="649" t="s">
        <v>286</v>
      </c>
      <c r="DN15" s="650" t="s">
        <v>289</v>
      </c>
      <c r="DO15" s="651" t="s">
        <v>288</v>
      </c>
      <c r="DP15" s="650" t="s">
        <v>287</v>
      </c>
      <c r="DQ15" s="651" t="s">
        <v>288</v>
      </c>
      <c r="DR15" s="650" t="s">
        <v>287</v>
      </c>
      <c r="DS15" s="651" t="s">
        <v>288</v>
      </c>
      <c r="DT15" s="650" t="s">
        <v>289</v>
      </c>
      <c r="DU15" s="651" t="s">
        <v>288</v>
      </c>
      <c r="DV15" s="650" t="s">
        <v>289</v>
      </c>
      <c r="DW15" s="651" t="s">
        <v>288</v>
      </c>
      <c r="DX15" s="650" t="s">
        <v>287</v>
      </c>
      <c r="DY15" s="651" t="s">
        <v>288</v>
      </c>
      <c r="DZ15" s="650" t="s">
        <v>287</v>
      </c>
      <c r="EA15" s="651" t="s">
        <v>288</v>
      </c>
      <c r="EB15" s="650" t="s">
        <v>289</v>
      </c>
      <c r="EC15" s="651" t="s">
        <v>288</v>
      </c>
      <c r="ED15" s="650" t="s">
        <v>287</v>
      </c>
      <c r="EE15" s="651" t="s">
        <v>288</v>
      </c>
      <c r="EF15" s="650" t="s">
        <v>287</v>
      </c>
      <c r="EG15" s="651" t="s">
        <v>288</v>
      </c>
      <c r="EH15" s="650" t="s">
        <v>290</v>
      </c>
      <c r="EI15" s="651" t="s">
        <v>288</v>
      </c>
      <c r="EJ15" s="650" t="s">
        <v>290</v>
      </c>
      <c r="EK15" s="651" t="s">
        <v>288</v>
      </c>
      <c r="EL15" s="650" t="s">
        <v>287</v>
      </c>
      <c r="EM15" s="651" t="s">
        <v>288</v>
      </c>
      <c r="EN15" s="650" t="s">
        <v>289</v>
      </c>
      <c r="EO15" s="651" t="s">
        <v>288</v>
      </c>
      <c r="EP15" s="650" t="s">
        <v>287</v>
      </c>
      <c r="EQ15" s="651" t="s">
        <v>288</v>
      </c>
      <c r="ER15" s="650" t="s">
        <v>289</v>
      </c>
      <c r="ES15" s="651" t="s">
        <v>288</v>
      </c>
      <c r="ET15" s="650" t="s">
        <v>289</v>
      </c>
      <c r="EU15" s="651" t="s">
        <v>288</v>
      </c>
      <c r="EV15" s="650" t="s">
        <v>289</v>
      </c>
      <c r="EW15" s="651" t="s">
        <v>288</v>
      </c>
      <c r="EX15" s="650" t="s">
        <v>289</v>
      </c>
      <c r="EY15" s="651" t="s">
        <v>288</v>
      </c>
      <c r="EZ15" s="650" t="s">
        <v>287</v>
      </c>
      <c r="FA15" s="651" t="s">
        <v>288</v>
      </c>
      <c r="FB15" s="650" t="s">
        <v>290</v>
      </c>
      <c r="FC15" s="651" t="s">
        <v>288</v>
      </c>
      <c r="FD15" s="650" t="s">
        <v>287</v>
      </c>
      <c r="FE15" s="651" t="s">
        <v>288</v>
      </c>
      <c r="FF15" s="650" t="s">
        <v>290</v>
      </c>
      <c r="FG15" s="651" t="s">
        <v>288</v>
      </c>
      <c r="FH15" s="652" t="s">
        <v>291</v>
      </c>
      <c r="FI15" s="654"/>
      <c r="FJ15" s="529" t="s">
        <v>283</v>
      </c>
      <c r="FK15" s="645" t="s">
        <v>261</v>
      </c>
      <c r="FL15" s="646" t="s">
        <v>262</v>
      </c>
      <c r="FM15" s="647" t="s">
        <v>272</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77</v>
      </c>
      <c r="D16" s="542">
        <v>11.03</v>
      </c>
      <c r="E16" s="663" t="s">
        <v>325</v>
      </c>
      <c r="F16" s="664"/>
      <c r="G16" s="665">
        <v>0</v>
      </c>
      <c r="H16" s="546">
        <f>ROUND(11.03*2.1*0,0)</f>
        <v>0</v>
      </c>
      <c r="I16" s="666">
        <v>0</v>
      </c>
      <c r="J16" s="546">
        <f>ROUND(11.03*2.1*0,0)</f>
        <v>0</v>
      </c>
      <c r="K16" s="666">
        <v>0</v>
      </c>
      <c r="L16" s="546">
        <f>ROUND(11.03*2.1*0,0)</f>
        <v>0</v>
      </c>
      <c r="M16" s="666">
        <v>0</v>
      </c>
      <c r="N16" s="546">
        <f>ROUND(11.03*2.1*0,0)</f>
        <v>0</v>
      </c>
      <c r="O16" s="666">
        <v>0</v>
      </c>
      <c r="P16" s="546">
        <f>ROUND(11.03*2.1*0,0)</f>
        <v>0</v>
      </c>
      <c r="Q16" s="666">
        <v>0</v>
      </c>
      <c r="R16" s="546">
        <f>ROUND(11.03*2.1*0,0)</f>
        <v>0</v>
      </c>
      <c r="S16" s="666">
        <v>0</v>
      </c>
      <c r="T16" s="546">
        <f>ROUND(11.03*2.1*0,0)</f>
        <v>0</v>
      </c>
      <c r="U16" s="666">
        <v>0</v>
      </c>
      <c r="V16" s="546">
        <f>ROUND(11.03*2.1*0,0)</f>
        <v>0</v>
      </c>
      <c r="W16" s="666">
        <v>3.3</v>
      </c>
      <c r="X16" s="546">
        <f>ROUND(11.03*2.1*3.3,0)</f>
        <v>76</v>
      </c>
      <c r="Y16" s="666">
        <v>4.5</v>
      </c>
      <c r="Z16" s="546">
        <f>ROUND(11.03*2.1*4.5,0)</f>
        <v>104</v>
      </c>
      <c r="AA16" s="666">
        <v>5.2</v>
      </c>
      <c r="AB16" s="546">
        <f>ROUND(11.03*2.1*5.2,0)</f>
        <v>120</v>
      </c>
      <c r="AC16" s="666">
        <v>5.7</v>
      </c>
      <c r="AD16" s="546">
        <f>ROUND(11.03*2.1*5.7,0)</f>
        <v>132</v>
      </c>
      <c r="AE16" s="666">
        <v>5.9</v>
      </c>
      <c r="AF16" s="546">
        <f>ROUND(11.03*2.1*5.9,0)</f>
        <v>137</v>
      </c>
      <c r="AG16" s="666">
        <v>5.9</v>
      </c>
      <c r="AH16" s="546">
        <f>ROUND(11.03*2.1*5.9,0)</f>
        <v>137</v>
      </c>
      <c r="AI16" s="666">
        <v>5.4</v>
      </c>
      <c r="AJ16" s="546">
        <f>ROUND(11.03*2.1*5.4,0)</f>
        <v>125</v>
      </c>
      <c r="AK16" s="666">
        <v>4.9000000000000004</v>
      </c>
      <c r="AL16" s="546">
        <f>ROUND(11.03*2.1*4.9,0)</f>
        <v>113</v>
      </c>
      <c r="AM16" s="666">
        <v>4</v>
      </c>
      <c r="AN16" s="546">
        <f>ROUND(11.03*2.1*4,0)</f>
        <v>93</v>
      </c>
      <c r="AO16" s="666">
        <v>3.3</v>
      </c>
      <c r="AP16" s="546">
        <f>ROUND(11.03*2.1*3.3,0)</f>
        <v>76</v>
      </c>
      <c r="AQ16" s="666">
        <v>0</v>
      </c>
      <c r="AR16" s="546">
        <f>ROUND(11.03*2.1*0,0)</f>
        <v>0</v>
      </c>
      <c r="AS16" s="666">
        <v>0</v>
      </c>
      <c r="AT16" s="546">
        <f>ROUND(11.03*2.1*0,0)</f>
        <v>0</v>
      </c>
      <c r="AU16" s="666">
        <v>0</v>
      </c>
      <c r="AV16" s="546">
        <f>ROUND(11.03*2.1*0,0)</f>
        <v>0</v>
      </c>
      <c r="AW16" s="666">
        <v>0</v>
      </c>
      <c r="AX16" s="546">
        <f>ROUND(11.03*2.1*0,0)</f>
        <v>0</v>
      </c>
      <c r="AY16" s="666">
        <v>0</v>
      </c>
      <c r="AZ16" s="546">
        <f>ROUND(11.03*2.1*0,0)</f>
        <v>0</v>
      </c>
      <c r="BA16" s="666">
        <v>0</v>
      </c>
      <c r="BB16" s="667">
        <f>ROUND(11.03*2.1*0,0)</f>
        <v>0</v>
      </c>
      <c r="BC16" s="549"/>
      <c r="BD16" s="539"/>
      <c r="BE16" s="541" t="s">
        <v>229</v>
      </c>
      <c r="BF16" s="662" t="s">
        <v>77</v>
      </c>
      <c r="BG16" s="542">
        <v>11.03</v>
      </c>
      <c r="BH16" s="663" t="s">
        <v>325</v>
      </c>
      <c r="BI16" s="664"/>
      <c r="BJ16" s="665">
        <v>0</v>
      </c>
      <c r="BK16" s="546">
        <f>ROUND(11.03*2.1*0,0)</f>
        <v>0</v>
      </c>
      <c r="BL16" s="666">
        <v>0</v>
      </c>
      <c r="BM16" s="546">
        <f>ROUND(11.03*2.1*0,0)</f>
        <v>0</v>
      </c>
      <c r="BN16" s="666">
        <v>0</v>
      </c>
      <c r="BO16" s="546">
        <f>ROUND(11.03*2.1*0,0)</f>
        <v>0</v>
      </c>
      <c r="BP16" s="666">
        <v>0</v>
      </c>
      <c r="BQ16" s="546">
        <f>ROUND(11.03*2.1*0,0)</f>
        <v>0</v>
      </c>
      <c r="BR16" s="666">
        <v>0</v>
      </c>
      <c r="BS16" s="546">
        <f>ROUND(11.03*2.1*0,0)</f>
        <v>0</v>
      </c>
      <c r="BT16" s="666">
        <v>0</v>
      </c>
      <c r="BU16" s="546">
        <f>ROUND(11.03*2.1*0,0)</f>
        <v>0</v>
      </c>
      <c r="BV16" s="666">
        <v>0</v>
      </c>
      <c r="BW16" s="546">
        <f>ROUND(11.03*2.1*0,0)</f>
        <v>0</v>
      </c>
      <c r="BX16" s="666">
        <v>0</v>
      </c>
      <c r="BY16" s="546">
        <f>ROUND(11.03*2.1*0,0)</f>
        <v>0</v>
      </c>
      <c r="BZ16" s="666">
        <v>3.1</v>
      </c>
      <c r="CA16" s="546">
        <f>ROUND(11.03*2.1*3.1,0)</f>
        <v>72</v>
      </c>
      <c r="CB16" s="666">
        <v>4.0999999999999996</v>
      </c>
      <c r="CC16" s="546">
        <f>ROUND(11.03*2.1*4.1,0)</f>
        <v>95</v>
      </c>
      <c r="CD16" s="666">
        <v>5</v>
      </c>
      <c r="CE16" s="546">
        <f>ROUND(11.03*2.1*5,0)</f>
        <v>116</v>
      </c>
      <c r="CF16" s="666">
        <v>5.4</v>
      </c>
      <c r="CG16" s="546">
        <f>ROUND(11.03*2.1*5.4,0)</f>
        <v>125</v>
      </c>
      <c r="CH16" s="666">
        <v>5.6</v>
      </c>
      <c r="CI16" s="546">
        <f>ROUND(11.03*2.1*5.6,0)</f>
        <v>130</v>
      </c>
      <c r="CJ16" s="666">
        <v>5.4</v>
      </c>
      <c r="CK16" s="546">
        <f>ROUND(11.03*2.1*5.4,0)</f>
        <v>125</v>
      </c>
      <c r="CL16" s="666">
        <v>4.9000000000000004</v>
      </c>
      <c r="CM16" s="546">
        <f>ROUND(11.03*2.1*4.9,0)</f>
        <v>113</v>
      </c>
      <c r="CN16" s="666">
        <v>4.5</v>
      </c>
      <c r="CO16" s="546">
        <f>ROUND(11.03*2.1*4.5,0)</f>
        <v>104</v>
      </c>
      <c r="CP16" s="666">
        <v>4</v>
      </c>
      <c r="CQ16" s="546">
        <f>ROUND(11.03*2.1*4,0)</f>
        <v>93</v>
      </c>
      <c r="CR16" s="666">
        <v>3.1</v>
      </c>
      <c r="CS16" s="546">
        <f>ROUND(11.03*2.1*3.1,0)</f>
        <v>72</v>
      </c>
      <c r="CT16" s="666">
        <v>0</v>
      </c>
      <c r="CU16" s="546">
        <f>ROUND(11.03*2.1*0,0)</f>
        <v>0</v>
      </c>
      <c r="CV16" s="666">
        <v>0</v>
      </c>
      <c r="CW16" s="546">
        <f>ROUND(11.03*2.1*0,0)</f>
        <v>0</v>
      </c>
      <c r="CX16" s="666">
        <v>0</v>
      </c>
      <c r="CY16" s="546">
        <f>ROUND(11.03*2.1*0,0)</f>
        <v>0</v>
      </c>
      <c r="CZ16" s="666">
        <v>0</v>
      </c>
      <c r="DA16" s="546">
        <f>ROUND(11.03*2.1*0,0)</f>
        <v>0</v>
      </c>
      <c r="DB16" s="666">
        <v>0</v>
      </c>
      <c r="DC16" s="546">
        <f>ROUND(11.03*2.1*0,0)</f>
        <v>0</v>
      </c>
      <c r="DD16" s="666">
        <v>0</v>
      </c>
      <c r="DE16" s="667">
        <f>ROUND(11.03*2.1*0,0)</f>
        <v>0</v>
      </c>
      <c r="DF16" s="549"/>
      <c r="DG16" s="539"/>
      <c r="DH16" s="541" t="s">
        <v>229</v>
      </c>
      <c r="DI16" s="662" t="s">
        <v>77</v>
      </c>
      <c r="DJ16" s="542">
        <v>11.03</v>
      </c>
      <c r="DK16" s="663" t="s">
        <v>325</v>
      </c>
      <c r="DL16" s="664"/>
      <c r="DM16" s="665">
        <v>0</v>
      </c>
      <c r="DN16" s="546">
        <f>ROUND(11.03*2.1*0,0)</f>
        <v>0</v>
      </c>
      <c r="DO16" s="666">
        <v>0</v>
      </c>
      <c r="DP16" s="546">
        <f>ROUND(11.03*2.1*0,0)</f>
        <v>0</v>
      </c>
      <c r="DQ16" s="666">
        <v>0</v>
      </c>
      <c r="DR16" s="546">
        <f>ROUND(11.03*2.1*0,0)</f>
        <v>0</v>
      </c>
      <c r="DS16" s="666">
        <v>0</v>
      </c>
      <c r="DT16" s="546">
        <f>ROUND(11.03*2.1*0,0)</f>
        <v>0</v>
      </c>
      <c r="DU16" s="666">
        <v>0</v>
      </c>
      <c r="DV16" s="546">
        <f>ROUND(11.03*2.1*0,0)</f>
        <v>0</v>
      </c>
      <c r="DW16" s="666">
        <v>0</v>
      </c>
      <c r="DX16" s="546">
        <f>ROUND(11.03*2.1*0,0)</f>
        <v>0</v>
      </c>
      <c r="DY16" s="666">
        <v>0</v>
      </c>
      <c r="DZ16" s="546">
        <f>ROUND(11.03*2.1*0,0)</f>
        <v>0</v>
      </c>
      <c r="EA16" s="666">
        <v>0</v>
      </c>
      <c r="EB16" s="546">
        <f>ROUND(11.03*2.1*0,0)</f>
        <v>0</v>
      </c>
      <c r="EC16" s="666">
        <v>0.80000000000000104</v>
      </c>
      <c r="ED16" s="546">
        <f>ROUND(11.03*2.1*0.800000000000001,0)</f>
        <v>19</v>
      </c>
      <c r="EE16" s="666">
        <v>2.1</v>
      </c>
      <c r="EF16" s="546">
        <f>ROUND(11.03*2.1*2.1,0)</f>
        <v>49</v>
      </c>
      <c r="EG16" s="666">
        <v>2.9</v>
      </c>
      <c r="EH16" s="546">
        <f>ROUND(11.03*2.1*2.9,0)</f>
        <v>67</v>
      </c>
      <c r="EI16" s="666">
        <v>3.6</v>
      </c>
      <c r="EJ16" s="546">
        <f>ROUND(11.03*2.1*3.6,0)</f>
        <v>83</v>
      </c>
      <c r="EK16" s="666">
        <v>3.8</v>
      </c>
      <c r="EL16" s="546">
        <f>ROUND(11.03*2.1*3.8,0)</f>
        <v>88</v>
      </c>
      <c r="EM16" s="666">
        <v>3.5</v>
      </c>
      <c r="EN16" s="546">
        <f>ROUND(11.03*2.1*3.5,0)</f>
        <v>81</v>
      </c>
      <c r="EO16" s="666">
        <v>3.1</v>
      </c>
      <c r="EP16" s="546">
        <f>ROUND(11.03*2.1*3.1,0)</f>
        <v>72</v>
      </c>
      <c r="EQ16" s="666">
        <v>2.7</v>
      </c>
      <c r="ER16" s="546">
        <f>ROUND(11.03*2.1*2.7,0)</f>
        <v>63</v>
      </c>
      <c r="ES16" s="666">
        <v>1.7</v>
      </c>
      <c r="ET16" s="546">
        <f>ROUND(11.03*2.1*1.7,0)</f>
        <v>39</v>
      </c>
      <c r="EU16" s="666">
        <v>0.69999999999999896</v>
      </c>
      <c r="EV16" s="546">
        <f>ROUND(11.03*2.1*0.699999999999999,0)</f>
        <v>16</v>
      </c>
      <c r="EW16" s="666">
        <v>0</v>
      </c>
      <c r="EX16" s="546">
        <f>ROUND(11.03*2.1*0,0)</f>
        <v>0</v>
      </c>
      <c r="EY16" s="666">
        <v>0</v>
      </c>
      <c r="EZ16" s="546">
        <f>ROUND(11.03*2.1*0,0)</f>
        <v>0</v>
      </c>
      <c r="FA16" s="666">
        <v>0</v>
      </c>
      <c r="FB16" s="546">
        <f>ROUND(11.03*2.1*0,0)</f>
        <v>0</v>
      </c>
      <c r="FC16" s="666">
        <v>0</v>
      </c>
      <c r="FD16" s="546">
        <f>ROUND(11.03*2.1*0,0)</f>
        <v>0</v>
      </c>
      <c r="FE16" s="666">
        <v>0</v>
      </c>
      <c r="FF16" s="546">
        <f>ROUND(11.03*2.1*0,0)</f>
        <v>0</v>
      </c>
      <c r="FG16" s="666">
        <v>0</v>
      </c>
      <c r="FH16" s="667">
        <f>ROUND(11.03*2.1*0,0)</f>
        <v>0</v>
      </c>
      <c r="FI16" s="550"/>
      <c r="FJ16" s="551"/>
      <c r="FK16" s="541" t="s">
        <v>229</v>
      </c>
      <c r="FL16" s="662" t="s">
        <v>77</v>
      </c>
      <c r="FM16" s="542">
        <v>11.03</v>
      </c>
      <c r="FN16" s="663" t="s">
        <v>325</v>
      </c>
      <c r="FO16" s="664"/>
      <c r="FP16" s="668">
        <v>9</v>
      </c>
      <c r="FQ16" s="669">
        <v>17</v>
      </c>
      <c r="FR16" s="546">
        <f>ROUND(11.03*2.1*17,0)</f>
        <v>394</v>
      </c>
      <c r="FS16" s="670">
        <v>9</v>
      </c>
      <c r="FT16" s="669">
        <v>17.5</v>
      </c>
      <c r="FU16" s="554">
        <f>ROUND(11.03*2.1*17.5,0)</f>
        <v>405</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77</v>
      </c>
      <c r="D17" s="570">
        <v>17.100000000000001</v>
      </c>
      <c r="E17" s="675">
        <v>0.9</v>
      </c>
      <c r="F17" s="676"/>
      <c r="G17" s="677">
        <v>0</v>
      </c>
      <c r="H17" s="574">
        <f>ROUND(17.1*0.9*0,0)</f>
        <v>0</v>
      </c>
      <c r="I17" s="678">
        <v>0</v>
      </c>
      <c r="J17" s="574">
        <f>ROUND(17.1*0.9*0,0)</f>
        <v>0</v>
      </c>
      <c r="K17" s="678">
        <v>0</v>
      </c>
      <c r="L17" s="574">
        <f>ROUND(17.1*0.9*0,0)</f>
        <v>0</v>
      </c>
      <c r="M17" s="678">
        <v>0</v>
      </c>
      <c r="N17" s="574">
        <f>ROUND(17.1*0.9*0,0)</f>
        <v>0</v>
      </c>
      <c r="O17" s="678">
        <v>0</v>
      </c>
      <c r="P17" s="574">
        <f>ROUND(17.1*0.9*0,0)</f>
        <v>0</v>
      </c>
      <c r="Q17" s="678">
        <v>0</v>
      </c>
      <c r="R17" s="574">
        <f>ROUND(17.1*0.9*0,0)</f>
        <v>0</v>
      </c>
      <c r="S17" s="678">
        <v>0</v>
      </c>
      <c r="T17" s="574">
        <f>ROUND(17.1*0.9*0,0)</f>
        <v>0</v>
      </c>
      <c r="U17" s="678">
        <v>0</v>
      </c>
      <c r="V17" s="574">
        <f>ROUND(17.1*0.9*0,0)</f>
        <v>0</v>
      </c>
      <c r="W17" s="678">
        <v>1.5</v>
      </c>
      <c r="X17" s="574">
        <f>ROUND(17.1*0.9*1.5,0)</f>
        <v>23</v>
      </c>
      <c r="Y17" s="678">
        <v>2.2999999999999998</v>
      </c>
      <c r="Z17" s="574">
        <f>ROUND(17.1*0.9*2.3,0)</f>
        <v>35</v>
      </c>
      <c r="AA17" s="678">
        <v>3.6</v>
      </c>
      <c r="AB17" s="574">
        <f>ROUND(17.1*0.9*3.6,0)</f>
        <v>55</v>
      </c>
      <c r="AC17" s="678">
        <v>5</v>
      </c>
      <c r="AD17" s="574">
        <f>ROUND(17.1*0.9*5,0)</f>
        <v>77</v>
      </c>
      <c r="AE17" s="678">
        <v>6.5</v>
      </c>
      <c r="AF17" s="574">
        <f>ROUND(17.1*0.9*6.5,0)</f>
        <v>100</v>
      </c>
      <c r="AG17" s="678">
        <v>7.8</v>
      </c>
      <c r="AH17" s="574">
        <f>ROUND(17.1*0.9*7.8,0)</f>
        <v>120</v>
      </c>
      <c r="AI17" s="678">
        <v>8.8000000000000007</v>
      </c>
      <c r="AJ17" s="574">
        <f>ROUND(17.1*0.9*8.8,0)</f>
        <v>135</v>
      </c>
      <c r="AK17" s="678">
        <v>9.3000000000000007</v>
      </c>
      <c r="AL17" s="574">
        <f>ROUND(17.1*0.9*9.3,0)</f>
        <v>143</v>
      </c>
      <c r="AM17" s="678">
        <v>9.3000000000000007</v>
      </c>
      <c r="AN17" s="574">
        <f>ROUND(17.1*0.9*9.3,0)</f>
        <v>143</v>
      </c>
      <c r="AO17" s="678">
        <v>9</v>
      </c>
      <c r="AP17" s="574">
        <f>ROUND(17.1*0.9*9,0)</f>
        <v>139</v>
      </c>
      <c r="AQ17" s="678">
        <v>0</v>
      </c>
      <c r="AR17" s="574">
        <f>ROUND(17.1*0.9*0,0)</f>
        <v>0</v>
      </c>
      <c r="AS17" s="678">
        <v>0</v>
      </c>
      <c r="AT17" s="574">
        <f>ROUND(17.1*0.9*0,0)</f>
        <v>0</v>
      </c>
      <c r="AU17" s="678">
        <v>0</v>
      </c>
      <c r="AV17" s="574">
        <f>ROUND(17.1*0.9*0,0)</f>
        <v>0</v>
      </c>
      <c r="AW17" s="678">
        <v>0</v>
      </c>
      <c r="AX17" s="574">
        <f>ROUND(17.1*0.9*0,0)</f>
        <v>0</v>
      </c>
      <c r="AY17" s="678">
        <v>0</v>
      </c>
      <c r="AZ17" s="574">
        <f>ROUND(17.1*0.9*0,0)</f>
        <v>0</v>
      </c>
      <c r="BA17" s="678">
        <v>0</v>
      </c>
      <c r="BB17" s="576">
        <f>ROUND(17.1*0.9*0,0)</f>
        <v>0</v>
      </c>
      <c r="BC17" s="549"/>
      <c r="BD17" s="539"/>
      <c r="BE17" s="569" t="s">
        <v>213</v>
      </c>
      <c r="BF17" s="674" t="s">
        <v>77</v>
      </c>
      <c r="BG17" s="570">
        <v>17.100000000000001</v>
      </c>
      <c r="BH17" s="675">
        <v>0.9</v>
      </c>
      <c r="BI17" s="676"/>
      <c r="BJ17" s="677">
        <v>0</v>
      </c>
      <c r="BK17" s="574">
        <f>ROUND(17.1*0.9*0,0)</f>
        <v>0</v>
      </c>
      <c r="BL17" s="678">
        <v>0</v>
      </c>
      <c r="BM17" s="574">
        <f>ROUND(17.1*0.9*0,0)</f>
        <v>0</v>
      </c>
      <c r="BN17" s="678">
        <v>0</v>
      </c>
      <c r="BO17" s="574">
        <f>ROUND(17.1*0.9*0,0)</f>
        <v>0</v>
      </c>
      <c r="BP17" s="678">
        <v>0</v>
      </c>
      <c r="BQ17" s="574">
        <f>ROUND(17.1*0.9*0,0)</f>
        <v>0</v>
      </c>
      <c r="BR17" s="678">
        <v>0</v>
      </c>
      <c r="BS17" s="574">
        <f>ROUND(17.1*0.9*0,0)</f>
        <v>0</v>
      </c>
      <c r="BT17" s="678">
        <v>0</v>
      </c>
      <c r="BU17" s="574">
        <f>ROUND(17.1*0.9*0,0)</f>
        <v>0</v>
      </c>
      <c r="BV17" s="678">
        <v>0</v>
      </c>
      <c r="BW17" s="574">
        <f>ROUND(17.1*0.9*0,0)</f>
        <v>0</v>
      </c>
      <c r="BX17" s="678">
        <v>0</v>
      </c>
      <c r="BY17" s="574">
        <f>ROUND(17.1*0.9*0,0)</f>
        <v>0</v>
      </c>
      <c r="BZ17" s="678">
        <v>0.9</v>
      </c>
      <c r="CA17" s="574">
        <f>ROUND(17.1*0.9*0.9,0)</f>
        <v>14</v>
      </c>
      <c r="CB17" s="678">
        <v>1.9</v>
      </c>
      <c r="CC17" s="574">
        <f>ROUND(17.1*0.9*1.9,0)</f>
        <v>29</v>
      </c>
      <c r="CD17" s="678">
        <v>3.4</v>
      </c>
      <c r="CE17" s="574">
        <f>ROUND(17.1*0.9*3.4,0)</f>
        <v>52</v>
      </c>
      <c r="CF17" s="678">
        <v>5.0999999999999996</v>
      </c>
      <c r="CG17" s="574">
        <f>ROUND(17.1*0.9*5.1,0)</f>
        <v>78</v>
      </c>
      <c r="CH17" s="678">
        <v>6.8</v>
      </c>
      <c r="CI17" s="574">
        <f>ROUND(17.1*0.9*6.8,0)</f>
        <v>105</v>
      </c>
      <c r="CJ17" s="678">
        <v>8.1999999999999993</v>
      </c>
      <c r="CK17" s="574">
        <f>ROUND(17.1*0.9*8.2,0)</f>
        <v>126</v>
      </c>
      <c r="CL17" s="678">
        <v>9.1999999999999993</v>
      </c>
      <c r="CM17" s="574">
        <f>ROUND(17.1*0.9*9.2,0)</f>
        <v>142</v>
      </c>
      <c r="CN17" s="678">
        <v>9.6</v>
      </c>
      <c r="CO17" s="574">
        <f>ROUND(17.1*0.9*9.6,0)</f>
        <v>148</v>
      </c>
      <c r="CP17" s="678">
        <v>9.5</v>
      </c>
      <c r="CQ17" s="574">
        <f>ROUND(17.1*0.9*9.5,0)</f>
        <v>146</v>
      </c>
      <c r="CR17" s="678">
        <v>9</v>
      </c>
      <c r="CS17" s="574">
        <f>ROUND(17.1*0.9*9,0)</f>
        <v>139</v>
      </c>
      <c r="CT17" s="678">
        <v>0</v>
      </c>
      <c r="CU17" s="574">
        <f>ROUND(17.1*0.9*0,0)</f>
        <v>0</v>
      </c>
      <c r="CV17" s="678">
        <v>0</v>
      </c>
      <c r="CW17" s="574">
        <f>ROUND(17.1*0.9*0,0)</f>
        <v>0</v>
      </c>
      <c r="CX17" s="678">
        <v>0</v>
      </c>
      <c r="CY17" s="574">
        <f>ROUND(17.1*0.9*0,0)</f>
        <v>0</v>
      </c>
      <c r="CZ17" s="678">
        <v>0</v>
      </c>
      <c r="DA17" s="574">
        <f>ROUND(17.1*0.9*0,0)</f>
        <v>0</v>
      </c>
      <c r="DB17" s="678">
        <v>0</v>
      </c>
      <c r="DC17" s="574">
        <f>ROUND(17.1*0.9*0,0)</f>
        <v>0</v>
      </c>
      <c r="DD17" s="678">
        <v>0</v>
      </c>
      <c r="DE17" s="576">
        <f>ROUND(17.1*0.9*0,0)</f>
        <v>0</v>
      </c>
      <c r="DF17" s="549"/>
      <c r="DG17" s="539"/>
      <c r="DH17" s="569" t="s">
        <v>213</v>
      </c>
      <c r="DI17" s="674" t="s">
        <v>77</v>
      </c>
      <c r="DJ17" s="570">
        <v>17.100000000000001</v>
      </c>
      <c r="DK17" s="675">
        <v>0.9</v>
      </c>
      <c r="DL17" s="676"/>
      <c r="DM17" s="677">
        <v>0</v>
      </c>
      <c r="DN17" s="574">
        <f>ROUND(17.1*0.9*0,0)</f>
        <v>0</v>
      </c>
      <c r="DO17" s="678">
        <v>0</v>
      </c>
      <c r="DP17" s="574">
        <f>ROUND(17.1*0.9*0,0)</f>
        <v>0</v>
      </c>
      <c r="DQ17" s="678">
        <v>0</v>
      </c>
      <c r="DR17" s="574">
        <f>ROUND(17.1*0.9*0,0)</f>
        <v>0</v>
      </c>
      <c r="DS17" s="678">
        <v>0</v>
      </c>
      <c r="DT17" s="574">
        <f>ROUND(17.1*0.9*0,0)</f>
        <v>0</v>
      </c>
      <c r="DU17" s="678">
        <v>0</v>
      </c>
      <c r="DV17" s="574">
        <f>ROUND(17.1*0.9*0,0)</f>
        <v>0</v>
      </c>
      <c r="DW17" s="678">
        <v>0</v>
      </c>
      <c r="DX17" s="574">
        <f>ROUND(17.1*0.9*0,0)</f>
        <v>0</v>
      </c>
      <c r="DY17" s="678">
        <v>0</v>
      </c>
      <c r="DZ17" s="574">
        <f>ROUND(17.1*0.9*0,0)</f>
        <v>0</v>
      </c>
      <c r="EA17" s="678">
        <v>0</v>
      </c>
      <c r="EB17" s="574">
        <f>ROUND(17.1*0.9*0,0)</f>
        <v>0</v>
      </c>
      <c r="EC17" s="678">
        <v>0</v>
      </c>
      <c r="ED17" s="574">
        <f>ROUND(17.1*0.9*0,0)</f>
        <v>0</v>
      </c>
      <c r="EE17" s="678">
        <v>1.4</v>
      </c>
      <c r="EF17" s="574">
        <f>ROUND(17.1*0.9*1.4,0)</f>
        <v>22</v>
      </c>
      <c r="EG17" s="678">
        <v>3.4</v>
      </c>
      <c r="EH17" s="574">
        <f>ROUND(17.1*0.9*3.4,0)</f>
        <v>52</v>
      </c>
      <c r="EI17" s="678">
        <v>5.7</v>
      </c>
      <c r="EJ17" s="574">
        <f>ROUND(17.1*0.9*5.7,0)</f>
        <v>88</v>
      </c>
      <c r="EK17" s="678">
        <v>8</v>
      </c>
      <c r="EL17" s="574">
        <f>ROUND(17.1*0.9*8,0)</f>
        <v>123</v>
      </c>
      <c r="EM17" s="678">
        <v>9.8000000000000007</v>
      </c>
      <c r="EN17" s="574">
        <f>ROUND(17.1*0.9*9.8,0)</f>
        <v>151</v>
      </c>
      <c r="EO17" s="678">
        <v>11.1</v>
      </c>
      <c r="EP17" s="574">
        <f>ROUND(17.1*0.9*11.1,0)</f>
        <v>171</v>
      </c>
      <c r="EQ17" s="678">
        <v>11.6</v>
      </c>
      <c r="ER17" s="574">
        <f>ROUND(17.1*0.9*11.6,0)</f>
        <v>179</v>
      </c>
      <c r="ES17" s="678">
        <v>11.3</v>
      </c>
      <c r="ET17" s="574">
        <f>ROUND(17.1*0.9*11.3,0)</f>
        <v>174</v>
      </c>
      <c r="EU17" s="678">
        <v>10.4</v>
      </c>
      <c r="EV17" s="574">
        <f>ROUND(17.1*0.9*10.4,0)</f>
        <v>160</v>
      </c>
      <c r="EW17" s="678">
        <v>0</v>
      </c>
      <c r="EX17" s="574">
        <f>ROUND(17.1*0.9*0,0)</f>
        <v>0</v>
      </c>
      <c r="EY17" s="678">
        <v>0</v>
      </c>
      <c r="EZ17" s="574">
        <f>ROUND(17.1*0.9*0,0)</f>
        <v>0</v>
      </c>
      <c r="FA17" s="678">
        <v>0</v>
      </c>
      <c r="FB17" s="574">
        <f>ROUND(17.1*0.9*0,0)</f>
        <v>0</v>
      </c>
      <c r="FC17" s="678">
        <v>0</v>
      </c>
      <c r="FD17" s="574">
        <f>ROUND(17.1*0.9*0,0)</f>
        <v>0</v>
      </c>
      <c r="FE17" s="678">
        <v>0</v>
      </c>
      <c r="FF17" s="574">
        <f>ROUND(17.1*0.9*0,0)</f>
        <v>0</v>
      </c>
      <c r="FG17" s="678">
        <v>0</v>
      </c>
      <c r="FH17" s="576">
        <f>ROUND(17.1*0.9*0,0)</f>
        <v>0</v>
      </c>
      <c r="FI17" s="550"/>
      <c r="FJ17" s="551"/>
      <c r="FK17" s="569" t="s">
        <v>213</v>
      </c>
      <c r="FL17" s="674" t="s">
        <v>77</v>
      </c>
      <c r="FM17" s="570">
        <v>17.100000000000001</v>
      </c>
      <c r="FN17" s="675">
        <v>0.9</v>
      </c>
      <c r="FO17" s="676"/>
      <c r="FP17" s="679">
        <v>9</v>
      </c>
      <c r="FQ17" s="680">
        <v>17</v>
      </c>
      <c r="FR17" s="574">
        <f>ROUND(17.1*0.9*17,0)</f>
        <v>262</v>
      </c>
      <c r="FS17" s="681">
        <v>9</v>
      </c>
      <c r="FT17" s="680">
        <v>17.5</v>
      </c>
      <c r="FU17" s="579">
        <f>ROUND(17.1*0.9*17.5,0)</f>
        <v>269</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t="s">
        <v>213</v>
      </c>
      <c r="C18" s="674" t="s">
        <v>79</v>
      </c>
      <c r="D18" s="570">
        <v>28.13</v>
      </c>
      <c r="E18" s="675">
        <v>0.9</v>
      </c>
      <c r="F18" s="676"/>
      <c r="G18" s="677">
        <v>0</v>
      </c>
      <c r="H18" s="574">
        <f>ROUND(28.13*0.9*0,0)</f>
        <v>0</v>
      </c>
      <c r="I18" s="678">
        <v>0</v>
      </c>
      <c r="J18" s="574">
        <f>ROUND(28.13*0.9*0,0)</f>
        <v>0</v>
      </c>
      <c r="K18" s="678">
        <v>0</v>
      </c>
      <c r="L18" s="574">
        <f>ROUND(28.13*0.9*0,0)</f>
        <v>0</v>
      </c>
      <c r="M18" s="678">
        <v>0</v>
      </c>
      <c r="N18" s="574">
        <f>ROUND(28.13*0.9*0,0)</f>
        <v>0</v>
      </c>
      <c r="O18" s="678">
        <v>0</v>
      </c>
      <c r="P18" s="574">
        <f>ROUND(28.13*0.9*0,0)</f>
        <v>0</v>
      </c>
      <c r="Q18" s="678">
        <v>0</v>
      </c>
      <c r="R18" s="574">
        <f>ROUND(28.13*0.9*0,0)</f>
        <v>0</v>
      </c>
      <c r="S18" s="678">
        <v>0</v>
      </c>
      <c r="T18" s="574">
        <f>ROUND(28.13*0.9*0,0)</f>
        <v>0</v>
      </c>
      <c r="U18" s="678">
        <v>0</v>
      </c>
      <c r="V18" s="574">
        <f>ROUND(28.13*0.9*0,0)</f>
        <v>0</v>
      </c>
      <c r="W18" s="678">
        <v>1.6</v>
      </c>
      <c r="X18" s="574">
        <f>ROUND(28.13*0.9*1.6,0)</f>
        <v>41</v>
      </c>
      <c r="Y18" s="678">
        <v>2.1</v>
      </c>
      <c r="Z18" s="574">
        <f>ROUND(28.13*0.9*2.1,0)</f>
        <v>53</v>
      </c>
      <c r="AA18" s="678">
        <v>2.9</v>
      </c>
      <c r="AB18" s="574">
        <f>ROUND(28.13*0.9*2.9,0)</f>
        <v>73</v>
      </c>
      <c r="AC18" s="678">
        <v>3.8</v>
      </c>
      <c r="AD18" s="574">
        <f>ROUND(28.13*0.9*3.8,0)</f>
        <v>96</v>
      </c>
      <c r="AE18" s="678">
        <v>4.8</v>
      </c>
      <c r="AF18" s="574">
        <f>ROUND(28.13*0.9*4.8,0)</f>
        <v>122</v>
      </c>
      <c r="AG18" s="678">
        <v>6</v>
      </c>
      <c r="AH18" s="574">
        <f>ROUND(28.13*0.9*6,0)</f>
        <v>152</v>
      </c>
      <c r="AI18" s="678">
        <v>7.5</v>
      </c>
      <c r="AJ18" s="574">
        <f>ROUND(28.13*0.9*7.5,0)</f>
        <v>190</v>
      </c>
      <c r="AK18" s="678">
        <v>9.1</v>
      </c>
      <c r="AL18" s="574">
        <f>ROUND(28.13*0.9*9.1,0)</f>
        <v>230</v>
      </c>
      <c r="AM18" s="678">
        <v>10.5</v>
      </c>
      <c r="AN18" s="574">
        <f>ROUND(28.13*0.9*10.5,0)</f>
        <v>266</v>
      </c>
      <c r="AO18" s="678">
        <v>11.3</v>
      </c>
      <c r="AP18" s="574">
        <f>ROUND(28.13*0.9*11.3,0)</f>
        <v>286</v>
      </c>
      <c r="AQ18" s="678">
        <v>0</v>
      </c>
      <c r="AR18" s="574">
        <f>ROUND(28.13*0.9*0,0)</f>
        <v>0</v>
      </c>
      <c r="AS18" s="678">
        <v>0</v>
      </c>
      <c r="AT18" s="574">
        <f>ROUND(28.13*0.9*0,0)</f>
        <v>0</v>
      </c>
      <c r="AU18" s="678">
        <v>0</v>
      </c>
      <c r="AV18" s="574">
        <f>ROUND(28.13*0.9*0,0)</f>
        <v>0</v>
      </c>
      <c r="AW18" s="678">
        <v>0</v>
      </c>
      <c r="AX18" s="574">
        <f>ROUND(28.13*0.9*0,0)</f>
        <v>0</v>
      </c>
      <c r="AY18" s="678">
        <v>0</v>
      </c>
      <c r="AZ18" s="574">
        <f>ROUND(28.13*0.9*0,0)</f>
        <v>0</v>
      </c>
      <c r="BA18" s="678">
        <v>0</v>
      </c>
      <c r="BB18" s="576">
        <f>ROUND(28.13*0.9*0,0)</f>
        <v>0</v>
      </c>
      <c r="BC18" s="549"/>
      <c r="BD18" s="539"/>
      <c r="BE18" s="683" t="s">
        <v>213</v>
      </c>
      <c r="BF18" s="674" t="s">
        <v>79</v>
      </c>
      <c r="BG18" s="570">
        <v>28.13</v>
      </c>
      <c r="BH18" s="675">
        <v>0.9</v>
      </c>
      <c r="BI18" s="676"/>
      <c r="BJ18" s="677">
        <v>0</v>
      </c>
      <c r="BK18" s="574">
        <f>ROUND(28.13*0.9*0,0)</f>
        <v>0</v>
      </c>
      <c r="BL18" s="678">
        <v>0</v>
      </c>
      <c r="BM18" s="574">
        <f>ROUND(28.13*0.9*0,0)</f>
        <v>0</v>
      </c>
      <c r="BN18" s="678">
        <v>0</v>
      </c>
      <c r="BO18" s="574">
        <f>ROUND(28.13*0.9*0,0)</f>
        <v>0</v>
      </c>
      <c r="BP18" s="678">
        <v>0</v>
      </c>
      <c r="BQ18" s="574">
        <f>ROUND(28.13*0.9*0,0)</f>
        <v>0</v>
      </c>
      <c r="BR18" s="678">
        <v>0</v>
      </c>
      <c r="BS18" s="574">
        <f>ROUND(28.13*0.9*0,0)</f>
        <v>0</v>
      </c>
      <c r="BT18" s="678">
        <v>0</v>
      </c>
      <c r="BU18" s="574">
        <f>ROUND(28.13*0.9*0,0)</f>
        <v>0</v>
      </c>
      <c r="BV18" s="678">
        <v>0</v>
      </c>
      <c r="BW18" s="574">
        <f>ROUND(28.13*0.9*0,0)</f>
        <v>0</v>
      </c>
      <c r="BX18" s="678">
        <v>0</v>
      </c>
      <c r="BY18" s="574">
        <f>ROUND(28.13*0.9*0,0)</f>
        <v>0</v>
      </c>
      <c r="BZ18" s="678">
        <v>1.3</v>
      </c>
      <c r="CA18" s="574">
        <f>ROUND(28.13*0.9*1.3,0)</f>
        <v>33</v>
      </c>
      <c r="CB18" s="678">
        <v>1.7</v>
      </c>
      <c r="CC18" s="574">
        <f>ROUND(28.13*0.9*1.7,0)</f>
        <v>43</v>
      </c>
      <c r="CD18" s="678">
        <v>2.4</v>
      </c>
      <c r="CE18" s="574">
        <f>ROUND(28.13*0.9*2.4,0)</f>
        <v>61</v>
      </c>
      <c r="CF18" s="678">
        <v>3.1</v>
      </c>
      <c r="CG18" s="574">
        <f>ROUND(28.13*0.9*3.1,0)</f>
        <v>78</v>
      </c>
      <c r="CH18" s="678">
        <v>4</v>
      </c>
      <c r="CI18" s="574">
        <f>ROUND(28.13*0.9*4,0)</f>
        <v>101</v>
      </c>
      <c r="CJ18" s="678">
        <v>5.3</v>
      </c>
      <c r="CK18" s="574">
        <f>ROUND(28.13*0.9*5.3,0)</f>
        <v>134</v>
      </c>
      <c r="CL18" s="678">
        <v>7.1</v>
      </c>
      <c r="CM18" s="574">
        <f>ROUND(28.13*0.9*7.1,0)</f>
        <v>180</v>
      </c>
      <c r="CN18" s="678">
        <v>9.4</v>
      </c>
      <c r="CO18" s="574">
        <f>ROUND(28.13*0.9*9.4,0)</f>
        <v>238</v>
      </c>
      <c r="CP18" s="678">
        <v>11.7</v>
      </c>
      <c r="CQ18" s="574">
        <f>ROUND(28.13*0.9*11.7,0)</f>
        <v>296</v>
      </c>
      <c r="CR18" s="678">
        <v>13.6</v>
      </c>
      <c r="CS18" s="574">
        <f>ROUND(28.13*0.9*13.6,0)</f>
        <v>344</v>
      </c>
      <c r="CT18" s="678">
        <v>0</v>
      </c>
      <c r="CU18" s="574">
        <f>ROUND(28.13*0.9*0,0)</f>
        <v>0</v>
      </c>
      <c r="CV18" s="678">
        <v>0</v>
      </c>
      <c r="CW18" s="574">
        <f>ROUND(28.13*0.9*0,0)</f>
        <v>0</v>
      </c>
      <c r="CX18" s="678">
        <v>0</v>
      </c>
      <c r="CY18" s="574">
        <f>ROUND(28.13*0.9*0,0)</f>
        <v>0</v>
      </c>
      <c r="CZ18" s="678">
        <v>0</v>
      </c>
      <c r="DA18" s="574">
        <f>ROUND(28.13*0.9*0,0)</f>
        <v>0</v>
      </c>
      <c r="DB18" s="678">
        <v>0</v>
      </c>
      <c r="DC18" s="574">
        <f>ROUND(28.13*0.9*0,0)</f>
        <v>0</v>
      </c>
      <c r="DD18" s="678">
        <v>0</v>
      </c>
      <c r="DE18" s="576">
        <f>ROUND(28.13*0.9*0,0)</f>
        <v>0</v>
      </c>
      <c r="DF18" s="549"/>
      <c r="DG18" s="539"/>
      <c r="DH18" s="683" t="s">
        <v>213</v>
      </c>
      <c r="DI18" s="674" t="s">
        <v>79</v>
      </c>
      <c r="DJ18" s="570">
        <v>28.13</v>
      </c>
      <c r="DK18" s="675">
        <v>0.9</v>
      </c>
      <c r="DL18" s="676"/>
      <c r="DM18" s="677">
        <v>0</v>
      </c>
      <c r="DN18" s="574">
        <f>ROUND(28.13*0.9*0,0)</f>
        <v>0</v>
      </c>
      <c r="DO18" s="678">
        <v>0</v>
      </c>
      <c r="DP18" s="574">
        <f>ROUND(28.13*0.9*0,0)</f>
        <v>0</v>
      </c>
      <c r="DQ18" s="678">
        <v>0</v>
      </c>
      <c r="DR18" s="574">
        <f>ROUND(28.13*0.9*0,0)</f>
        <v>0</v>
      </c>
      <c r="DS18" s="678">
        <v>0</v>
      </c>
      <c r="DT18" s="574">
        <f>ROUND(28.13*0.9*0,0)</f>
        <v>0</v>
      </c>
      <c r="DU18" s="678">
        <v>0</v>
      </c>
      <c r="DV18" s="574">
        <f>ROUND(28.13*0.9*0,0)</f>
        <v>0</v>
      </c>
      <c r="DW18" s="678">
        <v>0</v>
      </c>
      <c r="DX18" s="574">
        <f>ROUND(28.13*0.9*0,0)</f>
        <v>0</v>
      </c>
      <c r="DY18" s="678">
        <v>0</v>
      </c>
      <c r="DZ18" s="574">
        <f>ROUND(28.13*0.9*0,0)</f>
        <v>0</v>
      </c>
      <c r="EA18" s="678">
        <v>0</v>
      </c>
      <c r="EB18" s="574">
        <f>ROUND(28.13*0.9*0,0)</f>
        <v>0</v>
      </c>
      <c r="EC18" s="678">
        <v>0</v>
      </c>
      <c r="ED18" s="574">
        <f>ROUND(28.13*0.9*0,0)</f>
        <v>0</v>
      </c>
      <c r="EE18" s="678">
        <v>0</v>
      </c>
      <c r="EF18" s="574">
        <f>ROUND(28.13*0.9*0,0)</f>
        <v>0</v>
      </c>
      <c r="EG18" s="678">
        <v>0</v>
      </c>
      <c r="EH18" s="574">
        <f>ROUND(28.13*0.9*0,0)</f>
        <v>0</v>
      </c>
      <c r="EI18" s="678">
        <v>0.7</v>
      </c>
      <c r="EJ18" s="574">
        <f>ROUND(28.13*0.9*0.7,0)</f>
        <v>18</v>
      </c>
      <c r="EK18" s="678">
        <v>1.7</v>
      </c>
      <c r="EL18" s="574">
        <f>ROUND(28.13*0.9*1.7,0)</f>
        <v>43</v>
      </c>
      <c r="EM18" s="678">
        <v>3.2</v>
      </c>
      <c r="EN18" s="574">
        <f>ROUND(28.13*0.9*3.2,0)</f>
        <v>81</v>
      </c>
      <c r="EO18" s="678">
        <v>5.4</v>
      </c>
      <c r="EP18" s="574">
        <f>ROUND(28.13*0.9*5.4,0)</f>
        <v>137</v>
      </c>
      <c r="EQ18" s="678">
        <v>7.9</v>
      </c>
      <c r="ER18" s="574">
        <f>ROUND(28.13*0.9*7.9,0)</f>
        <v>200</v>
      </c>
      <c r="ES18" s="678">
        <v>10.1</v>
      </c>
      <c r="ET18" s="574">
        <f>ROUND(28.13*0.9*10.1,0)</f>
        <v>256</v>
      </c>
      <c r="EU18" s="678">
        <v>11.5</v>
      </c>
      <c r="EV18" s="574">
        <f>ROUND(28.13*0.9*11.5,0)</f>
        <v>291</v>
      </c>
      <c r="EW18" s="678">
        <v>0</v>
      </c>
      <c r="EX18" s="574">
        <f>ROUND(28.13*0.9*0,0)</f>
        <v>0</v>
      </c>
      <c r="EY18" s="678">
        <v>0</v>
      </c>
      <c r="EZ18" s="574">
        <f>ROUND(28.13*0.9*0,0)</f>
        <v>0</v>
      </c>
      <c r="FA18" s="678">
        <v>0</v>
      </c>
      <c r="FB18" s="574">
        <f>ROUND(28.13*0.9*0,0)</f>
        <v>0</v>
      </c>
      <c r="FC18" s="678">
        <v>0</v>
      </c>
      <c r="FD18" s="574">
        <f>ROUND(28.13*0.9*0,0)</f>
        <v>0</v>
      </c>
      <c r="FE18" s="678">
        <v>0</v>
      </c>
      <c r="FF18" s="574">
        <f>ROUND(28.13*0.9*0,0)</f>
        <v>0</v>
      </c>
      <c r="FG18" s="678">
        <v>0</v>
      </c>
      <c r="FH18" s="576">
        <f>ROUND(28.13*0.9*0,0)</f>
        <v>0</v>
      </c>
      <c r="FI18" s="550"/>
      <c r="FJ18" s="551"/>
      <c r="FK18" s="683" t="s">
        <v>213</v>
      </c>
      <c r="FL18" s="674" t="s">
        <v>79</v>
      </c>
      <c r="FM18" s="570">
        <v>28.13</v>
      </c>
      <c r="FN18" s="675">
        <v>0.9</v>
      </c>
      <c r="FO18" s="676"/>
      <c r="FP18" s="679">
        <v>9</v>
      </c>
      <c r="FQ18" s="680">
        <v>17</v>
      </c>
      <c r="FR18" s="574">
        <f>ROUND(28.13*0.9*17,0)</f>
        <v>430</v>
      </c>
      <c r="FS18" s="681">
        <v>9</v>
      </c>
      <c r="FT18" s="680">
        <v>17.5</v>
      </c>
      <c r="FU18" s="579">
        <f>ROUND(28.13*0.9*17.5,0)</f>
        <v>443</v>
      </c>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t="s">
        <v>236</v>
      </c>
      <c r="C19" s="674"/>
      <c r="D19" s="570">
        <v>20.25</v>
      </c>
      <c r="E19" s="675">
        <v>2.9</v>
      </c>
      <c r="F19" s="676"/>
      <c r="G19" s="677">
        <v>0</v>
      </c>
      <c r="H19" s="574">
        <f>ROUND(20.25*2.9*0,0)</f>
        <v>0</v>
      </c>
      <c r="I19" s="678">
        <v>0</v>
      </c>
      <c r="J19" s="574">
        <f>ROUND(20.25*2.9*0,0)</f>
        <v>0</v>
      </c>
      <c r="K19" s="678">
        <v>0</v>
      </c>
      <c r="L19" s="574">
        <f>ROUND(20.25*2.9*0,0)</f>
        <v>0</v>
      </c>
      <c r="M19" s="678">
        <v>0</v>
      </c>
      <c r="N19" s="574">
        <f>ROUND(20.25*2.9*0,0)</f>
        <v>0</v>
      </c>
      <c r="O19" s="678">
        <v>0</v>
      </c>
      <c r="P19" s="574">
        <f>ROUND(20.25*2.9*0,0)</f>
        <v>0</v>
      </c>
      <c r="Q19" s="678">
        <v>0</v>
      </c>
      <c r="R19" s="574">
        <f>ROUND(20.25*2.9*0,0)</f>
        <v>0</v>
      </c>
      <c r="S19" s="678">
        <v>0</v>
      </c>
      <c r="T19" s="574">
        <f>ROUND(20.25*2.9*0,0)</f>
        <v>0</v>
      </c>
      <c r="U19" s="678">
        <v>0</v>
      </c>
      <c r="V19" s="574">
        <f>ROUND(20.25*2.9*0,0)</f>
        <v>0</v>
      </c>
      <c r="W19" s="678">
        <v>1</v>
      </c>
      <c r="X19" s="574">
        <f>ROUND(20.25*2.9*1,0)</f>
        <v>59</v>
      </c>
      <c r="Y19" s="678">
        <v>1.3</v>
      </c>
      <c r="Z19" s="574">
        <f>ROUND(20.25*2.9*1.3,0)</f>
        <v>76</v>
      </c>
      <c r="AA19" s="678">
        <v>1.6</v>
      </c>
      <c r="AB19" s="574">
        <f>ROUND(20.25*2.9*1.6,0)</f>
        <v>94</v>
      </c>
      <c r="AC19" s="678">
        <v>1.7</v>
      </c>
      <c r="AD19" s="574">
        <f>ROUND(20.25*2.9*1.7,0)</f>
        <v>100</v>
      </c>
      <c r="AE19" s="678">
        <v>1.8</v>
      </c>
      <c r="AF19" s="574">
        <f>ROUND(20.25*2.9*1.8,0)</f>
        <v>106</v>
      </c>
      <c r="AG19" s="678">
        <v>1.8</v>
      </c>
      <c r="AH19" s="574">
        <f>ROUND(20.25*2.9*1.8,0)</f>
        <v>106</v>
      </c>
      <c r="AI19" s="678">
        <v>1.6</v>
      </c>
      <c r="AJ19" s="574">
        <f>ROUND(20.25*2.9*1.6,0)</f>
        <v>94</v>
      </c>
      <c r="AK19" s="678">
        <v>1.5</v>
      </c>
      <c r="AL19" s="574">
        <f>ROUND(20.25*2.9*1.5,0)</f>
        <v>88</v>
      </c>
      <c r="AM19" s="678">
        <v>1.2</v>
      </c>
      <c r="AN19" s="574">
        <f>ROUND(20.25*2.9*1.2,0)</f>
        <v>70</v>
      </c>
      <c r="AO19" s="678">
        <v>1</v>
      </c>
      <c r="AP19" s="574">
        <f>ROUND(20.25*2.9*1,0)</f>
        <v>59</v>
      </c>
      <c r="AQ19" s="678">
        <v>0</v>
      </c>
      <c r="AR19" s="574">
        <f>ROUND(20.25*2.9*0,0)</f>
        <v>0</v>
      </c>
      <c r="AS19" s="678">
        <v>0</v>
      </c>
      <c r="AT19" s="574">
        <f>ROUND(20.25*2.9*0,0)</f>
        <v>0</v>
      </c>
      <c r="AU19" s="678">
        <v>0</v>
      </c>
      <c r="AV19" s="574">
        <f>ROUND(20.25*2.9*0,0)</f>
        <v>0</v>
      </c>
      <c r="AW19" s="678">
        <v>0</v>
      </c>
      <c r="AX19" s="574">
        <f>ROUND(20.25*2.9*0,0)</f>
        <v>0</v>
      </c>
      <c r="AY19" s="678">
        <v>0</v>
      </c>
      <c r="AZ19" s="574">
        <f>ROUND(20.25*2.9*0,0)</f>
        <v>0</v>
      </c>
      <c r="BA19" s="678">
        <v>0</v>
      </c>
      <c r="BB19" s="576">
        <f>ROUND(20.25*2.9*0,0)</f>
        <v>0</v>
      </c>
      <c r="BC19" s="549"/>
      <c r="BD19" s="539"/>
      <c r="BE19" s="683" t="s">
        <v>236</v>
      </c>
      <c r="BF19" s="674"/>
      <c r="BG19" s="570">
        <v>20.25</v>
      </c>
      <c r="BH19" s="675">
        <v>2.9</v>
      </c>
      <c r="BI19" s="676"/>
      <c r="BJ19" s="677">
        <v>0</v>
      </c>
      <c r="BK19" s="574">
        <f>ROUND(20.25*2.9*0,0)</f>
        <v>0</v>
      </c>
      <c r="BL19" s="678">
        <v>0</v>
      </c>
      <c r="BM19" s="574">
        <f>ROUND(20.25*2.9*0,0)</f>
        <v>0</v>
      </c>
      <c r="BN19" s="678">
        <v>0</v>
      </c>
      <c r="BO19" s="574">
        <f>ROUND(20.25*2.9*0,0)</f>
        <v>0</v>
      </c>
      <c r="BP19" s="678">
        <v>0</v>
      </c>
      <c r="BQ19" s="574">
        <f>ROUND(20.25*2.9*0,0)</f>
        <v>0</v>
      </c>
      <c r="BR19" s="678">
        <v>0</v>
      </c>
      <c r="BS19" s="574">
        <f>ROUND(20.25*2.9*0,0)</f>
        <v>0</v>
      </c>
      <c r="BT19" s="678">
        <v>0</v>
      </c>
      <c r="BU19" s="574">
        <f>ROUND(20.25*2.9*0,0)</f>
        <v>0</v>
      </c>
      <c r="BV19" s="678">
        <v>0</v>
      </c>
      <c r="BW19" s="574">
        <f>ROUND(20.25*2.9*0,0)</f>
        <v>0</v>
      </c>
      <c r="BX19" s="678">
        <v>0</v>
      </c>
      <c r="BY19" s="574">
        <f>ROUND(20.25*2.9*0,0)</f>
        <v>0</v>
      </c>
      <c r="BZ19" s="678">
        <v>0.9</v>
      </c>
      <c r="CA19" s="574">
        <f>ROUND(20.25*2.9*0.9,0)</f>
        <v>53</v>
      </c>
      <c r="CB19" s="678">
        <v>1.2</v>
      </c>
      <c r="CC19" s="574">
        <f>ROUND(20.25*2.9*1.2,0)</f>
        <v>70</v>
      </c>
      <c r="CD19" s="678">
        <v>1.5</v>
      </c>
      <c r="CE19" s="574">
        <f>ROUND(20.25*2.9*1.5,0)</f>
        <v>88</v>
      </c>
      <c r="CF19" s="678">
        <v>1.6</v>
      </c>
      <c r="CG19" s="574">
        <f>ROUND(20.25*2.9*1.6,0)</f>
        <v>94</v>
      </c>
      <c r="CH19" s="678">
        <v>1.7</v>
      </c>
      <c r="CI19" s="574">
        <f>ROUND(20.25*2.9*1.7,0)</f>
        <v>100</v>
      </c>
      <c r="CJ19" s="678">
        <v>1.6</v>
      </c>
      <c r="CK19" s="574">
        <f>ROUND(20.25*2.9*1.6,0)</f>
        <v>94</v>
      </c>
      <c r="CL19" s="678">
        <v>1.5</v>
      </c>
      <c r="CM19" s="574">
        <f>ROUND(20.25*2.9*1.5,0)</f>
        <v>88</v>
      </c>
      <c r="CN19" s="678">
        <v>1.3</v>
      </c>
      <c r="CO19" s="574">
        <f>ROUND(20.25*2.9*1.3,0)</f>
        <v>76</v>
      </c>
      <c r="CP19" s="678">
        <v>1.2</v>
      </c>
      <c r="CQ19" s="574">
        <f>ROUND(20.25*2.9*1.2,0)</f>
        <v>70</v>
      </c>
      <c r="CR19" s="678">
        <v>0.9</v>
      </c>
      <c r="CS19" s="574">
        <f>ROUND(20.25*2.9*0.9,0)</f>
        <v>53</v>
      </c>
      <c r="CT19" s="678">
        <v>0</v>
      </c>
      <c r="CU19" s="574">
        <f>ROUND(20.25*2.9*0,0)</f>
        <v>0</v>
      </c>
      <c r="CV19" s="678">
        <v>0</v>
      </c>
      <c r="CW19" s="574">
        <f>ROUND(20.25*2.9*0,0)</f>
        <v>0</v>
      </c>
      <c r="CX19" s="678">
        <v>0</v>
      </c>
      <c r="CY19" s="574">
        <f>ROUND(20.25*2.9*0,0)</f>
        <v>0</v>
      </c>
      <c r="CZ19" s="678">
        <v>0</v>
      </c>
      <c r="DA19" s="574">
        <f>ROUND(20.25*2.9*0,0)</f>
        <v>0</v>
      </c>
      <c r="DB19" s="678">
        <v>0</v>
      </c>
      <c r="DC19" s="574">
        <f>ROUND(20.25*2.9*0,0)</f>
        <v>0</v>
      </c>
      <c r="DD19" s="678">
        <v>0</v>
      </c>
      <c r="DE19" s="576">
        <f>ROUND(20.25*2.9*0,0)</f>
        <v>0</v>
      </c>
      <c r="DF19" s="549"/>
      <c r="DG19" s="539"/>
      <c r="DH19" s="683" t="s">
        <v>236</v>
      </c>
      <c r="DI19" s="674"/>
      <c r="DJ19" s="570">
        <v>20.25</v>
      </c>
      <c r="DK19" s="675">
        <v>2.9</v>
      </c>
      <c r="DL19" s="676"/>
      <c r="DM19" s="677">
        <v>0</v>
      </c>
      <c r="DN19" s="574">
        <f>ROUND(20.25*2.9*0,0)</f>
        <v>0</v>
      </c>
      <c r="DO19" s="678">
        <v>0</v>
      </c>
      <c r="DP19" s="574">
        <f>ROUND(20.25*2.9*0,0)</f>
        <v>0</v>
      </c>
      <c r="DQ19" s="678">
        <v>0</v>
      </c>
      <c r="DR19" s="574">
        <f>ROUND(20.25*2.9*0,0)</f>
        <v>0</v>
      </c>
      <c r="DS19" s="678">
        <v>0</v>
      </c>
      <c r="DT19" s="574">
        <f>ROUND(20.25*2.9*0,0)</f>
        <v>0</v>
      </c>
      <c r="DU19" s="678">
        <v>0</v>
      </c>
      <c r="DV19" s="574">
        <f>ROUND(20.25*2.9*0,0)</f>
        <v>0</v>
      </c>
      <c r="DW19" s="678">
        <v>0</v>
      </c>
      <c r="DX19" s="574">
        <f>ROUND(20.25*2.9*0,0)</f>
        <v>0</v>
      </c>
      <c r="DY19" s="678">
        <v>0</v>
      </c>
      <c r="DZ19" s="574">
        <f>ROUND(20.25*2.9*0,0)</f>
        <v>0</v>
      </c>
      <c r="EA19" s="678">
        <v>0</v>
      </c>
      <c r="EB19" s="574">
        <f>ROUND(20.25*2.9*0,0)</f>
        <v>0</v>
      </c>
      <c r="EC19" s="678">
        <v>0.2</v>
      </c>
      <c r="ED19" s="574">
        <f>ROUND(20.25*2.9*0.2,0)</f>
        <v>12</v>
      </c>
      <c r="EE19" s="678">
        <v>0.6</v>
      </c>
      <c r="EF19" s="574">
        <f>ROUND(20.25*2.9*0.6,0)</f>
        <v>35</v>
      </c>
      <c r="EG19" s="678">
        <v>0.9</v>
      </c>
      <c r="EH19" s="574">
        <f>ROUND(20.25*2.9*0.9,0)</f>
        <v>53</v>
      </c>
      <c r="EI19" s="678">
        <v>1.1000000000000001</v>
      </c>
      <c r="EJ19" s="574">
        <f>ROUND(20.25*2.9*1.1,0)</f>
        <v>65</v>
      </c>
      <c r="EK19" s="678">
        <v>1.1000000000000001</v>
      </c>
      <c r="EL19" s="574">
        <f>ROUND(20.25*2.9*1.1,0)</f>
        <v>65</v>
      </c>
      <c r="EM19" s="678">
        <v>1</v>
      </c>
      <c r="EN19" s="574">
        <f>ROUND(20.25*2.9*1,0)</f>
        <v>59</v>
      </c>
      <c r="EO19" s="678">
        <v>0.9</v>
      </c>
      <c r="EP19" s="574">
        <f>ROUND(20.25*2.9*0.9,0)</f>
        <v>53</v>
      </c>
      <c r="EQ19" s="678">
        <v>0.8</v>
      </c>
      <c r="ER19" s="574">
        <f>ROUND(20.25*2.9*0.8,0)</f>
        <v>47</v>
      </c>
      <c r="ES19" s="678">
        <v>0.5</v>
      </c>
      <c r="ET19" s="574">
        <f>ROUND(20.25*2.9*0.5,0)</f>
        <v>29</v>
      </c>
      <c r="EU19" s="678">
        <v>0.2</v>
      </c>
      <c r="EV19" s="574">
        <f>ROUND(20.25*2.9*0.2,0)</f>
        <v>12</v>
      </c>
      <c r="EW19" s="678">
        <v>0</v>
      </c>
      <c r="EX19" s="574">
        <f>ROUND(20.25*2.9*0,0)</f>
        <v>0</v>
      </c>
      <c r="EY19" s="678">
        <v>0</v>
      </c>
      <c r="EZ19" s="574">
        <f>ROUND(20.25*2.9*0,0)</f>
        <v>0</v>
      </c>
      <c r="FA19" s="678">
        <v>0</v>
      </c>
      <c r="FB19" s="574">
        <f>ROUND(20.25*2.9*0,0)</f>
        <v>0</v>
      </c>
      <c r="FC19" s="678">
        <v>0</v>
      </c>
      <c r="FD19" s="574">
        <f>ROUND(20.25*2.9*0,0)</f>
        <v>0</v>
      </c>
      <c r="FE19" s="678">
        <v>0</v>
      </c>
      <c r="FF19" s="574">
        <f>ROUND(20.25*2.9*0,0)</f>
        <v>0</v>
      </c>
      <c r="FG19" s="678">
        <v>0</v>
      </c>
      <c r="FH19" s="576">
        <f>ROUND(20.25*2.9*0,0)</f>
        <v>0</v>
      </c>
      <c r="FI19" s="550"/>
      <c r="FJ19" s="551"/>
      <c r="FK19" s="683" t="s">
        <v>236</v>
      </c>
      <c r="FL19" s="674"/>
      <c r="FM19" s="570">
        <v>20.25</v>
      </c>
      <c r="FN19" s="675">
        <v>2.9</v>
      </c>
      <c r="FO19" s="676"/>
      <c r="FP19" s="679">
        <v>9</v>
      </c>
      <c r="FQ19" s="680">
        <v>5.0999999999999996</v>
      </c>
      <c r="FR19" s="574">
        <f>ROUND(20.25*2.9*5.1,0)</f>
        <v>299</v>
      </c>
      <c r="FS19" s="681">
        <v>9</v>
      </c>
      <c r="FT19" s="680">
        <v>5.2</v>
      </c>
      <c r="FU19" s="579">
        <f>ROUND(20.25*2.9*5.2,0)</f>
        <v>305</v>
      </c>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11.03</v>
      </c>
      <c r="GO21" s="687"/>
      <c r="GP21" s="688"/>
      <c r="GQ21" s="620">
        <v>0</v>
      </c>
      <c r="GR21" s="621">
        <v>11.03</v>
      </c>
      <c r="GS21" s="565"/>
      <c r="GT21" s="660"/>
      <c r="GU21" s="684" t="s">
        <v>433</v>
      </c>
      <c r="GV21" s="685"/>
      <c r="GW21" s="686"/>
      <c r="GX21" s="689">
        <v>11.03</v>
      </c>
      <c r="GY21" s="690"/>
      <c r="GZ21" s="687"/>
      <c r="HA21" s="691">
        <v>7.17</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0.65</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56.25</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0.2</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293</v>
      </c>
      <c r="E26" s="629"/>
      <c r="F26" s="629"/>
      <c r="G26" s="631"/>
      <c r="H26" s="632">
        <f>SUM(H16:H25)</f>
        <v>0</v>
      </c>
      <c r="I26" s="717"/>
      <c r="J26" s="632">
        <f>SUM(J16:J25)</f>
        <v>0</v>
      </c>
      <c r="K26" s="718"/>
      <c r="L26" s="632">
        <f>SUM(L16:L25)</f>
        <v>0</v>
      </c>
      <c r="M26" s="718"/>
      <c r="N26" s="632">
        <f>SUM(N16:N25)</f>
        <v>0</v>
      </c>
      <c r="O26" s="718"/>
      <c r="P26" s="632">
        <f>SUM(P16:P25)</f>
        <v>0</v>
      </c>
      <c r="Q26" s="718"/>
      <c r="R26" s="632">
        <f>SUM(R16:R25)</f>
        <v>0</v>
      </c>
      <c r="S26" s="718"/>
      <c r="T26" s="632">
        <f>SUM(T16:T25)</f>
        <v>0</v>
      </c>
      <c r="U26" s="718"/>
      <c r="V26" s="632">
        <f>SUM(V16:V25)</f>
        <v>0</v>
      </c>
      <c r="W26" s="718"/>
      <c r="X26" s="632">
        <f>SUM(X16:X25)</f>
        <v>199</v>
      </c>
      <c r="Y26" s="718"/>
      <c r="Z26" s="632">
        <f>SUM(Z16:Z25)</f>
        <v>268</v>
      </c>
      <c r="AA26" s="718"/>
      <c r="AB26" s="632">
        <f>SUM(AB16:AB25)</f>
        <v>342</v>
      </c>
      <c r="AC26" s="718"/>
      <c r="AD26" s="632">
        <f>SUM(AD16:AD25)</f>
        <v>405</v>
      </c>
      <c r="AE26" s="718"/>
      <c r="AF26" s="632">
        <f>SUM(AF16:AF25)</f>
        <v>465</v>
      </c>
      <c r="AG26" s="718"/>
      <c r="AH26" s="632">
        <f>SUM(AH16:AH25)</f>
        <v>515</v>
      </c>
      <c r="AI26" s="718"/>
      <c r="AJ26" s="632">
        <f>SUM(AJ16:AJ25)</f>
        <v>544</v>
      </c>
      <c r="AK26" s="718"/>
      <c r="AL26" s="632">
        <f>SUM(AL16:AL25)</f>
        <v>574</v>
      </c>
      <c r="AM26" s="718"/>
      <c r="AN26" s="632">
        <f>SUM(AN16:AN25)</f>
        <v>572</v>
      </c>
      <c r="AO26" s="718"/>
      <c r="AP26" s="632">
        <f>SUM(AP16:AP25)</f>
        <v>560</v>
      </c>
      <c r="AQ26" s="718"/>
      <c r="AR26" s="632">
        <f>SUM(AR16:AR25)</f>
        <v>0</v>
      </c>
      <c r="AS26" s="718"/>
      <c r="AT26" s="632">
        <f>SUM(AT16:AT25)</f>
        <v>0</v>
      </c>
      <c r="AU26" s="718"/>
      <c r="AV26" s="632">
        <f>SUM(AV16:AV25)</f>
        <v>0</v>
      </c>
      <c r="AW26" s="718"/>
      <c r="AX26" s="632">
        <f>SUM(AX16:AX25)</f>
        <v>0</v>
      </c>
      <c r="AY26" s="718"/>
      <c r="AZ26" s="632">
        <f>SUM(AZ16:AZ25)</f>
        <v>0</v>
      </c>
      <c r="BA26" s="718"/>
      <c r="BB26" s="634">
        <f>SUM(BB16:BB25)</f>
        <v>0</v>
      </c>
      <c r="BC26" s="635"/>
      <c r="BD26" s="628"/>
      <c r="BE26" s="629"/>
      <c r="BF26" s="629"/>
      <c r="BG26" s="629" t="s">
        <v>294</v>
      </c>
      <c r="BH26" s="629"/>
      <c r="BI26" s="629"/>
      <c r="BJ26" s="631"/>
      <c r="BK26" s="632">
        <f>SUM(BK16:BK25)</f>
        <v>0</v>
      </c>
      <c r="BL26" s="717"/>
      <c r="BM26" s="632">
        <f>SUM(BM16:BM25)</f>
        <v>0</v>
      </c>
      <c r="BN26" s="718"/>
      <c r="BO26" s="632">
        <f>SUM(BO16:BO25)</f>
        <v>0</v>
      </c>
      <c r="BP26" s="718"/>
      <c r="BQ26" s="632">
        <f>SUM(BQ16:BQ25)</f>
        <v>0</v>
      </c>
      <c r="BR26" s="718"/>
      <c r="BS26" s="632">
        <f>SUM(BS16:BS25)</f>
        <v>0</v>
      </c>
      <c r="BT26" s="718"/>
      <c r="BU26" s="632">
        <f>SUM(BU16:BU25)</f>
        <v>0</v>
      </c>
      <c r="BV26" s="718"/>
      <c r="BW26" s="632">
        <f>SUM(BW16:BW25)</f>
        <v>0</v>
      </c>
      <c r="BX26" s="718"/>
      <c r="BY26" s="632">
        <f>SUM(BY16:BY25)</f>
        <v>0</v>
      </c>
      <c r="BZ26" s="718"/>
      <c r="CA26" s="632">
        <f>SUM(CA16:CA25)</f>
        <v>172</v>
      </c>
      <c r="CB26" s="718"/>
      <c r="CC26" s="632">
        <f>SUM(CC16:CC25)</f>
        <v>237</v>
      </c>
      <c r="CD26" s="718"/>
      <c r="CE26" s="632">
        <f>SUM(CE16:CE25)</f>
        <v>317</v>
      </c>
      <c r="CF26" s="718"/>
      <c r="CG26" s="632">
        <f>SUM(CG16:CG25)</f>
        <v>375</v>
      </c>
      <c r="CH26" s="718"/>
      <c r="CI26" s="632">
        <f>SUM(CI16:CI25)</f>
        <v>436</v>
      </c>
      <c r="CJ26" s="718"/>
      <c r="CK26" s="632">
        <f>SUM(CK16:CK25)</f>
        <v>479</v>
      </c>
      <c r="CL26" s="718"/>
      <c r="CM26" s="632">
        <f>SUM(CM16:CM25)</f>
        <v>523</v>
      </c>
      <c r="CN26" s="718"/>
      <c r="CO26" s="632">
        <f>SUM(CO16:CO25)</f>
        <v>566</v>
      </c>
      <c r="CP26" s="718"/>
      <c r="CQ26" s="632">
        <f>SUM(CQ16:CQ25)</f>
        <v>605</v>
      </c>
      <c r="CR26" s="718"/>
      <c r="CS26" s="632">
        <f>SUM(CS16:CS25)</f>
        <v>608</v>
      </c>
      <c r="CT26" s="718"/>
      <c r="CU26" s="632">
        <f>SUM(CU16:CU25)</f>
        <v>0</v>
      </c>
      <c r="CV26" s="718"/>
      <c r="CW26" s="632">
        <f>SUM(CW16:CW25)</f>
        <v>0</v>
      </c>
      <c r="CX26" s="718"/>
      <c r="CY26" s="632">
        <f>SUM(CY16:CY25)</f>
        <v>0</v>
      </c>
      <c r="CZ26" s="718"/>
      <c r="DA26" s="632">
        <f>SUM(DA16:DA25)</f>
        <v>0</v>
      </c>
      <c r="DB26" s="718"/>
      <c r="DC26" s="632">
        <f>SUM(DC16:DC25)</f>
        <v>0</v>
      </c>
      <c r="DD26" s="718"/>
      <c r="DE26" s="634">
        <f>SUM(DE16:DE25)</f>
        <v>0</v>
      </c>
      <c r="DF26" s="635"/>
      <c r="DG26" s="628"/>
      <c r="DH26" s="629"/>
      <c r="DI26" s="629"/>
      <c r="DJ26" s="629" t="s">
        <v>294</v>
      </c>
      <c r="DK26" s="629"/>
      <c r="DL26" s="629"/>
      <c r="DM26" s="631"/>
      <c r="DN26" s="632">
        <f>SUM(DN16:DN25)</f>
        <v>0</v>
      </c>
      <c r="DO26" s="717"/>
      <c r="DP26" s="632">
        <f>SUM(DP16:DP25)</f>
        <v>0</v>
      </c>
      <c r="DQ26" s="718"/>
      <c r="DR26" s="632">
        <f>SUM(DR16:DR25)</f>
        <v>0</v>
      </c>
      <c r="DS26" s="718"/>
      <c r="DT26" s="632">
        <f>SUM(DT16:DT25)</f>
        <v>0</v>
      </c>
      <c r="DU26" s="718"/>
      <c r="DV26" s="632">
        <f>SUM(DV16:DV25)</f>
        <v>0</v>
      </c>
      <c r="DW26" s="718"/>
      <c r="DX26" s="632">
        <f>SUM(DX16:DX25)</f>
        <v>0</v>
      </c>
      <c r="DY26" s="718"/>
      <c r="DZ26" s="632">
        <f>SUM(DZ16:DZ25)</f>
        <v>0</v>
      </c>
      <c r="EA26" s="718"/>
      <c r="EB26" s="632">
        <f>SUM(EB16:EB25)</f>
        <v>0</v>
      </c>
      <c r="EC26" s="718"/>
      <c r="ED26" s="632">
        <f>SUM(ED16:ED25)</f>
        <v>31</v>
      </c>
      <c r="EE26" s="718"/>
      <c r="EF26" s="632">
        <f>SUM(EF16:EF25)</f>
        <v>106</v>
      </c>
      <c r="EG26" s="718"/>
      <c r="EH26" s="632">
        <f>SUM(EH16:EH25)</f>
        <v>172</v>
      </c>
      <c r="EI26" s="718"/>
      <c r="EJ26" s="632">
        <f>SUM(EJ16:EJ25)</f>
        <v>254</v>
      </c>
      <c r="EK26" s="718"/>
      <c r="EL26" s="632">
        <f>SUM(EL16:EL25)</f>
        <v>319</v>
      </c>
      <c r="EM26" s="718"/>
      <c r="EN26" s="632">
        <f>SUM(EN16:EN25)</f>
        <v>372</v>
      </c>
      <c r="EO26" s="718"/>
      <c r="EP26" s="632">
        <f>SUM(EP16:EP25)</f>
        <v>433</v>
      </c>
      <c r="EQ26" s="718"/>
      <c r="ER26" s="632">
        <f>SUM(ER16:ER25)</f>
        <v>489</v>
      </c>
      <c r="ES26" s="718"/>
      <c r="ET26" s="632">
        <f>SUM(ET16:ET25)</f>
        <v>498</v>
      </c>
      <c r="EU26" s="718"/>
      <c r="EV26" s="632">
        <f>SUM(EV16:EV25)</f>
        <v>479</v>
      </c>
      <c r="EW26" s="718"/>
      <c r="EX26" s="632">
        <f>SUM(EX16:EX25)</f>
        <v>0</v>
      </c>
      <c r="EY26" s="718"/>
      <c r="EZ26" s="632">
        <f>SUM(EZ16:EZ25)</f>
        <v>0</v>
      </c>
      <c r="FA26" s="718"/>
      <c r="FB26" s="632">
        <f>SUM(FB16:FB25)</f>
        <v>0</v>
      </c>
      <c r="FC26" s="718"/>
      <c r="FD26" s="632">
        <f>SUM(FD16:FD25)</f>
        <v>0</v>
      </c>
      <c r="FE26" s="718"/>
      <c r="FF26" s="632">
        <f>SUM(FF16:FF25)</f>
        <v>0</v>
      </c>
      <c r="FG26" s="718"/>
      <c r="FH26" s="634">
        <f>SUM(FH16:FH25)</f>
        <v>0</v>
      </c>
      <c r="FI26" s="636"/>
      <c r="FJ26" s="551"/>
      <c r="FK26" s="629"/>
      <c r="FL26" s="629"/>
      <c r="FM26" s="629" t="s">
        <v>294</v>
      </c>
      <c r="FN26" s="629"/>
      <c r="FO26" s="629"/>
      <c r="FP26" s="637"/>
      <c r="FQ26" s="638"/>
      <c r="FR26" s="632">
        <f>SUM(FR16:FR25)</f>
        <v>1385</v>
      </c>
      <c r="FS26" s="719"/>
      <c r="FT26" s="638"/>
      <c r="FU26" s="640">
        <f>SUM(FU16:FU25)</f>
        <v>1422</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0.65</v>
      </c>
      <c r="GZ26" s="567"/>
      <c r="HA26" s="517"/>
      <c r="HB26" s="517"/>
      <c r="HC26" s="517"/>
      <c r="HD26" s="635"/>
      <c r="HE26" s="406"/>
      <c r="HF26" s="406"/>
      <c r="HG26" s="567"/>
      <c r="HH26" s="635"/>
      <c r="HI26" s="406"/>
      <c r="HJ26" s="406"/>
    </row>
    <row r="27" spans="1:218" ht="20.100000000000001" customHeight="1">
      <c r="A27" s="720" t="s">
        <v>366</v>
      </c>
      <c r="B27" s="721"/>
      <c r="C27" s="722"/>
      <c r="D27" s="650"/>
      <c r="E27" s="722"/>
      <c r="F27" s="722"/>
      <c r="G27" s="723" t="s">
        <v>367</v>
      </c>
      <c r="H27" s="650" t="s">
        <v>368</v>
      </c>
      <c r="I27" s="724" t="s">
        <v>367</v>
      </c>
      <c r="J27" s="650" t="s">
        <v>368</v>
      </c>
      <c r="K27" s="725" t="s">
        <v>367</v>
      </c>
      <c r="L27" s="650" t="s">
        <v>368</v>
      </c>
      <c r="M27" s="725" t="s">
        <v>367</v>
      </c>
      <c r="N27" s="650" t="s">
        <v>368</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720"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720"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v>55</v>
      </c>
      <c r="E28" s="738">
        <v>6</v>
      </c>
      <c r="F28" s="739" t="s">
        <v>373</v>
      </c>
      <c r="G28" s="740"/>
      <c r="H28" s="546"/>
      <c r="I28" s="741"/>
      <c r="J28" s="546"/>
      <c r="K28" s="741"/>
      <c r="L28" s="546"/>
      <c r="M28" s="741"/>
      <c r="N28" s="546"/>
      <c r="O28" s="741"/>
      <c r="P28" s="546"/>
      <c r="Q28" s="741"/>
      <c r="R28" s="546"/>
      <c r="S28" s="741"/>
      <c r="T28" s="546"/>
      <c r="U28" s="741"/>
      <c r="V28" s="546"/>
      <c r="W28" s="741">
        <v>1</v>
      </c>
      <c r="X28" s="546">
        <v>330</v>
      </c>
      <c r="Y28" s="741">
        <v>1</v>
      </c>
      <c r="Z28" s="546">
        <v>330</v>
      </c>
      <c r="AA28" s="741">
        <v>1</v>
      </c>
      <c r="AB28" s="546">
        <v>330</v>
      </c>
      <c r="AC28" s="741">
        <v>1</v>
      </c>
      <c r="AD28" s="546">
        <v>330</v>
      </c>
      <c r="AE28" s="741">
        <v>1</v>
      </c>
      <c r="AF28" s="546">
        <v>330</v>
      </c>
      <c r="AG28" s="741">
        <v>1</v>
      </c>
      <c r="AH28" s="546">
        <v>330</v>
      </c>
      <c r="AI28" s="741">
        <v>1</v>
      </c>
      <c r="AJ28" s="546">
        <v>330</v>
      </c>
      <c r="AK28" s="741">
        <v>1</v>
      </c>
      <c r="AL28" s="546">
        <v>330</v>
      </c>
      <c r="AM28" s="741">
        <v>1</v>
      </c>
      <c r="AN28" s="546">
        <v>330</v>
      </c>
      <c r="AO28" s="741">
        <v>1</v>
      </c>
      <c r="AP28" s="546">
        <v>330</v>
      </c>
      <c r="AQ28" s="741"/>
      <c r="AR28" s="546"/>
      <c r="AS28" s="741"/>
      <c r="AT28" s="546"/>
      <c r="AU28" s="741"/>
      <c r="AV28" s="546"/>
      <c r="AW28" s="741"/>
      <c r="AX28" s="546"/>
      <c r="AY28" s="741"/>
      <c r="AZ28" s="546"/>
      <c r="BA28" s="741"/>
      <c r="BB28" s="667"/>
      <c r="BC28" s="549"/>
      <c r="BD28" s="539"/>
      <c r="BE28" s="735" t="s">
        <v>372</v>
      </c>
      <c r="BF28" s="736"/>
      <c r="BG28" s="737">
        <v>55</v>
      </c>
      <c r="BH28" s="738">
        <v>6</v>
      </c>
      <c r="BI28" s="739" t="s">
        <v>373</v>
      </c>
      <c r="BJ28" s="740"/>
      <c r="BK28" s="546"/>
      <c r="BL28" s="741"/>
      <c r="BM28" s="546"/>
      <c r="BN28" s="741"/>
      <c r="BO28" s="546"/>
      <c r="BP28" s="741"/>
      <c r="BQ28" s="546"/>
      <c r="BR28" s="741"/>
      <c r="BS28" s="546"/>
      <c r="BT28" s="741"/>
      <c r="BU28" s="546"/>
      <c r="BV28" s="741"/>
      <c r="BW28" s="546"/>
      <c r="BX28" s="741"/>
      <c r="BY28" s="546"/>
      <c r="BZ28" s="741">
        <v>1</v>
      </c>
      <c r="CA28" s="546">
        <v>330</v>
      </c>
      <c r="CB28" s="741">
        <v>1</v>
      </c>
      <c r="CC28" s="546">
        <v>330</v>
      </c>
      <c r="CD28" s="741">
        <v>1</v>
      </c>
      <c r="CE28" s="546">
        <v>330</v>
      </c>
      <c r="CF28" s="741">
        <v>1</v>
      </c>
      <c r="CG28" s="546">
        <v>330</v>
      </c>
      <c r="CH28" s="741">
        <v>1</v>
      </c>
      <c r="CI28" s="546">
        <v>330</v>
      </c>
      <c r="CJ28" s="741">
        <v>1</v>
      </c>
      <c r="CK28" s="546">
        <v>330</v>
      </c>
      <c r="CL28" s="741">
        <v>1</v>
      </c>
      <c r="CM28" s="546">
        <v>330</v>
      </c>
      <c r="CN28" s="741">
        <v>1</v>
      </c>
      <c r="CO28" s="546">
        <v>330</v>
      </c>
      <c r="CP28" s="741">
        <v>1</v>
      </c>
      <c r="CQ28" s="546">
        <v>330</v>
      </c>
      <c r="CR28" s="741">
        <v>1</v>
      </c>
      <c r="CS28" s="546">
        <v>330</v>
      </c>
      <c r="CT28" s="741"/>
      <c r="CU28" s="546"/>
      <c r="CV28" s="741"/>
      <c r="CW28" s="546"/>
      <c r="CX28" s="741"/>
      <c r="CY28" s="546"/>
      <c r="CZ28" s="741"/>
      <c r="DA28" s="546"/>
      <c r="DB28" s="741"/>
      <c r="DC28" s="546"/>
      <c r="DD28" s="741"/>
      <c r="DE28" s="667"/>
      <c r="DF28" s="549"/>
      <c r="DG28" s="539"/>
      <c r="DH28" s="735" t="s">
        <v>372</v>
      </c>
      <c r="DI28" s="736"/>
      <c r="DJ28" s="737">
        <v>55</v>
      </c>
      <c r="DK28" s="738">
        <v>6</v>
      </c>
      <c r="DL28" s="739" t="s">
        <v>373</v>
      </c>
      <c r="DM28" s="740"/>
      <c r="DN28" s="546"/>
      <c r="DO28" s="741"/>
      <c r="DP28" s="546"/>
      <c r="DQ28" s="741"/>
      <c r="DR28" s="546"/>
      <c r="DS28" s="741"/>
      <c r="DT28" s="546"/>
      <c r="DU28" s="741"/>
      <c r="DV28" s="546"/>
      <c r="DW28" s="741"/>
      <c r="DX28" s="546"/>
      <c r="DY28" s="741"/>
      <c r="DZ28" s="546"/>
      <c r="EA28" s="741"/>
      <c r="EB28" s="546"/>
      <c r="EC28" s="741">
        <v>1</v>
      </c>
      <c r="ED28" s="546">
        <v>330</v>
      </c>
      <c r="EE28" s="741">
        <v>1</v>
      </c>
      <c r="EF28" s="546">
        <v>330</v>
      </c>
      <c r="EG28" s="741">
        <v>1</v>
      </c>
      <c r="EH28" s="546">
        <v>330</v>
      </c>
      <c r="EI28" s="741">
        <v>1</v>
      </c>
      <c r="EJ28" s="546">
        <v>330</v>
      </c>
      <c r="EK28" s="741">
        <v>1</v>
      </c>
      <c r="EL28" s="546">
        <v>330</v>
      </c>
      <c r="EM28" s="741">
        <v>1</v>
      </c>
      <c r="EN28" s="546">
        <v>330</v>
      </c>
      <c r="EO28" s="741">
        <v>1</v>
      </c>
      <c r="EP28" s="546">
        <v>330</v>
      </c>
      <c r="EQ28" s="741">
        <v>1</v>
      </c>
      <c r="ER28" s="546">
        <v>330</v>
      </c>
      <c r="ES28" s="741">
        <v>1</v>
      </c>
      <c r="ET28" s="546">
        <v>330</v>
      </c>
      <c r="EU28" s="741">
        <v>1</v>
      </c>
      <c r="EV28" s="546">
        <v>330</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28</v>
      </c>
      <c r="E29" s="750">
        <v>56.25</v>
      </c>
      <c r="F29" s="751" t="s">
        <v>373</v>
      </c>
      <c r="G29" s="752"/>
      <c r="H29" s="574"/>
      <c r="I29" s="753"/>
      <c r="J29" s="574"/>
      <c r="K29" s="753"/>
      <c r="L29" s="574"/>
      <c r="M29" s="753"/>
      <c r="N29" s="574"/>
      <c r="O29" s="753"/>
      <c r="P29" s="574"/>
      <c r="Q29" s="753"/>
      <c r="R29" s="574"/>
      <c r="S29" s="753"/>
      <c r="T29" s="574"/>
      <c r="U29" s="753"/>
      <c r="V29" s="574"/>
      <c r="W29" s="753">
        <v>1</v>
      </c>
      <c r="X29" s="574">
        <v>1575</v>
      </c>
      <c r="Y29" s="753">
        <v>1</v>
      </c>
      <c r="Z29" s="574">
        <v>1575</v>
      </c>
      <c r="AA29" s="753">
        <v>1</v>
      </c>
      <c r="AB29" s="574">
        <v>1575</v>
      </c>
      <c r="AC29" s="753">
        <v>1</v>
      </c>
      <c r="AD29" s="574">
        <v>1575</v>
      </c>
      <c r="AE29" s="753">
        <v>1</v>
      </c>
      <c r="AF29" s="574">
        <v>1575</v>
      </c>
      <c r="AG29" s="753">
        <v>1</v>
      </c>
      <c r="AH29" s="574">
        <v>1575</v>
      </c>
      <c r="AI29" s="753">
        <v>1</v>
      </c>
      <c r="AJ29" s="574">
        <v>1575</v>
      </c>
      <c r="AK29" s="753">
        <v>1</v>
      </c>
      <c r="AL29" s="574">
        <v>1575</v>
      </c>
      <c r="AM29" s="753">
        <v>1</v>
      </c>
      <c r="AN29" s="574">
        <v>1575</v>
      </c>
      <c r="AO29" s="753">
        <v>1</v>
      </c>
      <c r="AP29" s="574">
        <v>1575</v>
      </c>
      <c r="AQ29" s="753"/>
      <c r="AR29" s="574"/>
      <c r="AS29" s="753"/>
      <c r="AT29" s="574"/>
      <c r="AU29" s="753"/>
      <c r="AV29" s="574"/>
      <c r="AW29" s="753"/>
      <c r="AX29" s="574"/>
      <c r="AY29" s="753"/>
      <c r="AZ29" s="574"/>
      <c r="BA29" s="753"/>
      <c r="BB29" s="576"/>
      <c r="BC29" s="549"/>
      <c r="BD29" s="539"/>
      <c r="BE29" s="747" t="s">
        <v>374</v>
      </c>
      <c r="BF29" s="748"/>
      <c r="BG29" s="749">
        <v>28</v>
      </c>
      <c r="BH29" s="750">
        <v>56.25</v>
      </c>
      <c r="BI29" s="751" t="s">
        <v>373</v>
      </c>
      <c r="BJ29" s="752"/>
      <c r="BK29" s="574"/>
      <c r="BL29" s="753"/>
      <c r="BM29" s="574"/>
      <c r="BN29" s="753"/>
      <c r="BO29" s="574"/>
      <c r="BP29" s="753"/>
      <c r="BQ29" s="574"/>
      <c r="BR29" s="753"/>
      <c r="BS29" s="574"/>
      <c r="BT29" s="753"/>
      <c r="BU29" s="574"/>
      <c r="BV29" s="753"/>
      <c r="BW29" s="574"/>
      <c r="BX29" s="753"/>
      <c r="BY29" s="574"/>
      <c r="BZ29" s="753">
        <v>1</v>
      </c>
      <c r="CA29" s="574">
        <v>1575</v>
      </c>
      <c r="CB29" s="753">
        <v>1</v>
      </c>
      <c r="CC29" s="574">
        <v>1575</v>
      </c>
      <c r="CD29" s="753">
        <v>1</v>
      </c>
      <c r="CE29" s="574">
        <v>1575</v>
      </c>
      <c r="CF29" s="753">
        <v>1</v>
      </c>
      <c r="CG29" s="574">
        <v>1575</v>
      </c>
      <c r="CH29" s="753">
        <v>1</v>
      </c>
      <c r="CI29" s="574">
        <v>1575</v>
      </c>
      <c r="CJ29" s="753">
        <v>1</v>
      </c>
      <c r="CK29" s="574">
        <v>1575</v>
      </c>
      <c r="CL29" s="753">
        <v>1</v>
      </c>
      <c r="CM29" s="574">
        <v>1575</v>
      </c>
      <c r="CN29" s="753">
        <v>1</v>
      </c>
      <c r="CO29" s="574">
        <v>1575</v>
      </c>
      <c r="CP29" s="753">
        <v>1</v>
      </c>
      <c r="CQ29" s="574">
        <v>1575</v>
      </c>
      <c r="CR29" s="753">
        <v>1</v>
      </c>
      <c r="CS29" s="574">
        <v>1575</v>
      </c>
      <c r="CT29" s="753"/>
      <c r="CU29" s="574"/>
      <c r="CV29" s="753"/>
      <c r="CW29" s="574"/>
      <c r="CX29" s="753"/>
      <c r="CY29" s="574"/>
      <c r="CZ29" s="753"/>
      <c r="DA29" s="574"/>
      <c r="DB29" s="753"/>
      <c r="DC29" s="574"/>
      <c r="DD29" s="753"/>
      <c r="DE29" s="576"/>
      <c r="DF29" s="549"/>
      <c r="DG29" s="539"/>
      <c r="DH29" s="747" t="s">
        <v>374</v>
      </c>
      <c r="DI29" s="748"/>
      <c r="DJ29" s="749">
        <v>28</v>
      </c>
      <c r="DK29" s="750">
        <v>56.25</v>
      </c>
      <c r="DL29" s="751" t="s">
        <v>373</v>
      </c>
      <c r="DM29" s="752"/>
      <c r="DN29" s="574"/>
      <c r="DO29" s="753"/>
      <c r="DP29" s="574"/>
      <c r="DQ29" s="753"/>
      <c r="DR29" s="574"/>
      <c r="DS29" s="753"/>
      <c r="DT29" s="574"/>
      <c r="DU29" s="753"/>
      <c r="DV29" s="574"/>
      <c r="DW29" s="753"/>
      <c r="DX29" s="574"/>
      <c r="DY29" s="753"/>
      <c r="DZ29" s="574"/>
      <c r="EA29" s="753"/>
      <c r="EB29" s="574"/>
      <c r="EC29" s="753">
        <v>1</v>
      </c>
      <c r="ED29" s="574">
        <v>1575</v>
      </c>
      <c r="EE29" s="753">
        <v>1</v>
      </c>
      <c r="EF29" s="574">
        <v>1575</v>
      </c>
      <c r="EG29" s="753">
        <v>1</v>
      </c>
      <c r="EH29" s="574">
        <v>1575</v>
      </c>
      <c r="EI29" s="753">
        <v>1</v>
      </c>
      <c r="EJ29" s="574">
        <v>1575</v>
      </c>
      <c r="EK29" s="753">
        <v>1</v>
      </c>
      <c r="EL29" s="574">
        <v>1575</v>
      </c>
      <c r="EM29" s="753">
        <v>1</v>
      </c>
      <c r="EN29" s="574">
        <v>1575</v>
      </c>
      <c r="EO29" s="753">
        <v>1</v>
      </c>
      <c r="EP29" s="574">
        <v>1575</v>
      </c>
      <c r="EQ29" s="753">
        <v>1</v>
      </c>
      <c r="ER29" s="574">
        <v>1575</v>
      </c>
      <c r="ES29" s="753">
        <v>1</v>
      </c>
      <c r="ET29" s="574">
        <v>1575</v>
      </c>
      <c r="EU29" s="753">
        <v>1</v>
      </c>
      <c r="EV29" s="574">
        <v>1575</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v>15</v>
      </c>
      <c r="D30" s="750">
        <v>56.25</v>
      </c>
      <c r="E30" s="759">
        <v>0.6</v>
      </c>
      <c r="F30" s="760" t="s">
        <v>373</v>
      </c>
      <c r="G30" s="752"/>
      <c r="H30" s="574"/>
      <c r="I30" s="753"/>
      <c r="J30" s="574"/>
      <c r="K30" s="753"/>
      <c r="L30" s="574"/>
      <c r="M30" s="753"/>
      <c r="N30" s="574"/>
      <c r="O30" s="753"/>
      <c r="P30" s="574"/>
      <c r="Q30" s="753"/>
      <c r="R30" s="574"/>
      <c r="S30" s="753"/>
      <c r="T30" s="574"/>
      <c r="U30" s="753"/>
      <c r="V30" s="574"/>
      <c r="W30" s="753">
        <v>1</v>
      </c>
      <c r="X30" s="574">
        <v>506</v>
      </c>
      <c r="Y30" s="753">
        <v>1</v>
      </c>
      <c r="Z30" s="574">
        <v>506</v>
      </c>
      <c r="AA30" s="753">
        <v>1</v>
      </c>
      <c r="AB30" s="574">
        <v>506</v>
      </c>
      <c r="AC30" s="753">
        <v>1</v>
      </c>
      <c r="AD30" s="574">
        <v>506</v>
      </c>
      <c r="AE30" s="753">
        <v>1</v>
      </c>
      <c r="AF30" s="574">
        <v>506</v>
      </c>
      <c r="AG30" s="753">
        <v>1</v>
      </c>
      <c r="AH30" s="574">
        <v>506</v>
      </c>
      <c r="AI30" s="753">
        <v>1</v>
      </c>
      <c r="AJ30" s="574">
        <v>506</v>
      </c>
      <c r="AK30" s="753">
        <v>1</v>
      </c>
      <c r="AL30" s="574">
        <v>506</v>
      </c>
      <c r="AM30" s="753">
        <v>1</v>
      </c>
      <c r="AN30" s="574">
        <v>506</v>
      </c>
      <c r="AO30" s="753">
        <v>1</v>
      </c>
      <c r="AP30" s="574">
        <v>506</v>
      </c>
      <c r="AQ30" s="753"/>
      <c r="AR30" s="574"/>
      <c r="AS30" s="753"/>
      <c r="AT30" s="574"/>
      <c r="AU30" s="753"/>
      <c r="AV30" s="574"/>
      <c r="AW30" s="753"/>
      <c r="AX30" s="574"/>
      <c r="AY30" s="753"/>
      <c r="AZ30" s="574"/>
      <c r="BA30" s="753"/>
      <c r="BB30" s="576"/>
      <c r="BC30" s="549"/>
      <c r="BD30" s="539"/>
      <c r="BE30" s="747" t="s">
        <v>375</v>
      </c>
      <c r="BF30" s="749">
        <v>15</v>
      </c>
      <c r="BG30" s="750">
        <v>56.25</v>
      </c>
      <c r="BH30" s="759">
        <v>0.6</v>
      </c>
      <c r="BI30" s="760" t="s">
        <v>373</v>
      </c>
      <c r="BJ30" s="752"/>
      <c r="BK30" s="574"/>
      <c r="BL30" s="753"/>
      <c r="BM30" s="574"/>
      <c r="BN30" s="753"/>
      <c r="BO30" s="574"/>
      <c r="BP30" s="753"/>
      <c r="BQ30" s="574"/>
      <c r="BR30" s="753"/>
      <c r="BS30" s="574"/>
      <c r="BT30" s="753"/>
      <c r="BU30" s="574"/>
      <c r="BV30" s="753"/>
      <c r="BW30" s="574"/>
      <c r="BX30" s="753"/>
      <c r="BY30" s="574"/>
      <c r="BZ30" s="753">
        <v>1</v>
      </c>
      <c r="CA30" s="574">
        <v>506</v>
      </c>
      <c r="CB30" s="753">
        <v>1</v>
      </c>
      <c r="CC30" s="574">
        <v>506</v>
      </c>
      <c r="CD30" s="753">
        <v>1</v>
      </c>
      <c r="CE30" s="574">
        <v>506</v>
      </c>
      <c r="CF30" s="753">
        <v>1</v>
      </c>
      <c r="CG30" s="574">
        <v>506</v>
      </c>
      <c r="CH30" s="753">
        <v>1</v>
      </c>
      <c r="CI30" s="574">
        <v>506</v>
      </c>
      <c r="CJ30" s="753">
        <v>1</v>
      </c>
      <c r="CK30" s="574">
        <v>506</v>
      </c>
      <c r="CL30" s="753">
        <v>1</v>
      </c>
      <c r="CM30" s="574">
        <v>506</v>
      </c>
      <c r="CN30" s="753">
        <v>1</v>
      </c>
      <c r="CO30" s="574">
        <v>506</v>
      </c>
      <c r="CP30" s="753">
        <v>1</v>
      </c>
      <c r="CQ30" s="574">
        <v>506</v>
      </c>
      <c r="CR30" s="753">
        <v>1</v>
      </c>
      <c r="CS30" s="574">
        <v>506</v>
      </c>
      <c r="CT30" s="753"/>
      <c r="CU30" s="574"/>
      <c r="CV30" s="753"/>
      <c r="CW30" s="574"/>
      <c r="CX30" s="753"/>
      <c r="CY30" s="574"/>
      <c r="CZ30" s="753"/>
      <c r="DA30" s="574"/>
      <c r="DB30" s="753"/>
      <c r="DC30" s="574"/>
      <c r="DD30" s="753"/>
      <c r="DE30" s="576"/>
      <c r="DF30" s="549"/>
      <c r="DG30" s="539"/>
      <c r="DH30" s="747" t="s">
        <v>375</v>
      </c>
      <c r="DI30" s="749">
        <v>15</v>
      </c>
      <c r="DJ30" s="750">
        <v>56.25</v>
      </c>
      <c r="DK30" s="759">
        <v>0.6</v>
      </c>
      <c r="DL30" s="760" t="s">
        <v>373</v>
      </c>
      <c r="DM30" s="752"/>
      <c r="DN30" s="574"/>
      <c r="DO30" s="753"/>
      <c r="DP30" s="574"/>
      <c r="DQ30" s="753"/>
      <c r="DR30" s="574"/>
      <c r="DS30" s="753"/>
      <c r="DT30" s="574"/>
      <c r="DU30" s="753"/>
      <c r="DV30" s="574"/>
      <c r="DW30" s="753"/>
      <c r="DX30" s="574"/>
      <c r="DY30" s="753"/>
      <c r="DZ30" s="574"/>
      <c r="EA30" s="753"/>
      <c r="EB30" s="574"/>
      <c r="EC30" s="753">
        <v>1</v>
      </c>
      <c r="ED30" s="574">
        <v>506</v>
      </c>
      <c r="EE30" s="753">
        <v>1</v>
      </c>
      <c r="EF30" s="574">
        <v>506</v>
      </c>
      <c r="EG30" s="753">
        <v>1</v>
      </c>
      <c r="EH30" s="574">
        <v>506</v>
      </c>
      <c r="EI30" s="753">
        <v>1</v>
      </c>
      <c r="EJ30" s="574">
        <v>506</v>
      </c>
      <c r="EK30" s="753">
        <v>1</v>
      </c>
      <c r="EL30" s="574">
        <v>506</v>
      </c>
      <c r="EM30" s="753">
        <v>1</v>
      </c>
      <c r="EN30" s="574">
        <v>506</v>
      </c>
      <c r="EO30" s="753">
        <v>1</v>
      </c>
      <c r="EP30" s="574">
        <v>506</v>
      </c>
      <c r="EQ30" s="753">
        <v>1</v>
      </c>
      <c r="ER30" s="574">
        <v>506</v>
      </c>
      <c r="ES30" s="753">
        <v>1</v>
      </c>
      <c r="ET30" s="574">
        <v>506</v>
      </c>
      <c r="EU30" s="753">
        <v>1</v>
      </c>
      <c r="EV30" s="574">
        <v>506</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631"/>
      <c r="H33" s="632">
        <v>0</v>
      </c>
      <c r="I33" s="633"/>
      <c r="J33" s="632">
        <v>0</v>
      </c>
      <c r="K33" s="633"/>
      <c r="L33" s="632">
        <v>0</v>
      </c>
      <c r="M33" s="633"/>
      <c r="N33" s="632">
        <v>0</v>
      </c>
      <c r="O33" s="633"/>
      <c r="P33" s="632">
        <v>0</v>
      </c>
      <c r="Q33" s="633"/>
      <c r="R33" s="632">
        <v>0</v>
      </c>
      <c r="S33" s="633"/>
      <c r="T33" s="632">
        <v>0</v>
      </c>
      <c r="U33" s="633"/>
      <c r="V33" s="632">
        <v>0</v>
      </c>
      <c r="W33" s="633"/>
      <c r="X33" s="632">
        <v>2411</v>
      </c>
      <c r="Y33" s="633"/>
      <c r="Z33" s="632">
        <v>2411</v>
      </c>
      <c r="AA33" s="633"/>
      <c r="AB33" s="632">
        <v>2411</v>
      </c>
      <c r="AC33" s="633"/>
      <c r="AD33" s="632">
        <v>2411</v>
      </c>
      <c r="AE33" s="633"/>
      <c r="AF33" s="632">
        <v>2411</v>
      </c>
      <c r="AG33" s="633"/>
      <c r="AH33" s="632">
        <v>2411</v>
      </c>
      <c r="AI33" s="633"/>
      <c r="AJ33" s="632">
        <v>2411</v>
      </c>
      <c r="AK33" s="633"/>
      <c r="AL33" s="632">
        <v>2411</v>
      </c>
      <c r="AM33" s="633"/>
      <c r="AN33" s="632">
        <v>2411</v>
      </c>
      <c r="AO33" s="633"/>
      <c r="AP33" s="632">
        <v>2411</v>
      </c>
      <c r="AQ33" s="633"/>
      <c r="AR33" s="632">
        <v>0</v>
      </c>
      <c r="AS33" s="633"/>
      <c r="AT33" s="632">
        <v>0</v>
      </c>
      <c r="AU33" s="633"/>
      <c r="AV33" s="632">
        <v>0</v>
      </c>
      <c r="AW33" s="633"/>
      <c r="AX33" s="632">
        <v>0</v>
      </c>
      <c r="AY33" s="633"/>
      <c r="AZ33" s="632">
        <v>0</v>
      </c>
      <c r="BA33" s="633"/>
      <c r="BB33" s="634">
        <v>0</v>
      </c>
      <c r="BC33" s="635"/>
      <c r="BD33" s="628"/>
      <c r="BE33" s="629"/>
      <c r="BF33" s="629"/>
      <c r="BG33" s="630" t="s">
        <v>378</v>
      </c>
      <c r="BH33" s="629"/>
      <c r="BI33" s="629"/>
      <c r="BJ33" s="631"/>
      <c r="BK33" s="632">
        <v>0</v>
      </c>
      <c r="BL33" s="633"/>
      <c r="BM33" s="632">
        <v>0</v>
      </c>
      <c r="BN33" s="633"/>
      <c r="BO33" s="632">
        <v>0</v>
      </c>
      <c r="BP33" s="633"/>
      <c r="BQ33" s="632">
        <v>0</v>
      </c>
      <c r="BR33" s="633"/>
      <c r="BS33" s="632">
        <v>0</v>
      </c>
      <c r="BT33" s="633"/>
      <c r="BU33" s="632">
        <v>0</v>
      </c>
      <c r="BV33" s="633"/>
      <c r="BW33" s="632">
        <v>0</v>
      </c>
      <c r="BX33" s="633"/>
      <c r="BY33" s="632">
        <v>0</v>
      </c>
      <c r="BZ33" s="633"/>
      <c r="CA33" s="632">
        <v>2411</v>
      </c>
      <c r="CB33" s="633"/>
      <c r="CC33" s="632">
        <v>2411</v>
      </c>
      <c r="CD33" s="633"/>
      <c r="CE33" s="632">
        <v>2411</v>
      </c>
      <c r="CF33" s="633"/>
      <c r="CG33" s="632">
        <v>2411</v>
      </c>
      <c r="CH33" s="633"/>
      <c r="CI33" s="632">
        <v>2411</v>
      </c>
      <c r="CJ33" s="633"/>
      <c r="CK33" s="632">
        <v>2411</v>
      </c>
      <c r="CL33" s="633"/>
      <c r="CM33" s="632">
        <v>2411</v>
      </c>
      <c r="CN33" s="633"/>
      <c r="CO33" s="632">
        <v>2411</v>
      </c>
      <c r="CP33" s="633"/>
      <c r="CQ33" s="632">
        <v>2411</v>
      </c>
      <c r="CR33" s="633"/>
      <c r="CS33" s="632">
        <v>2411</v>
      </c>
      <c r="CT33" s="633"/>
      <c r="CU33" s="632">
        <v>0</v>
      </c>
      <c r="CV33" s="633"/>
      <c r="CW33" s="632">
        <v>0</v>
      </c>
      <c r="CX33" s="633"/>
      <c r="CY33" s="632">
        <v>0</v>
      </c>
      <c r="CZ33" s="633"/>
      <c r="DA33" s="632">
        <v>0</v>
      </c>
      <c r="DB33" s="633"/>
      <c r="DC33" s="632">
        <v>0</v>
      </c>
      <c r="DD33" s="633"/>
      <c r="DE33" s="634">
        <v>0</v>
      </c>
      <c r="DF33" s="635"/>
      <c r="DG33" s="628"/>
      <c r="DH33" s="629"/>
      <c r="DI33" s="629"/>
      <c r="DJ33" s="630" t="s">
        <v>378</v>
      </c>
      <c r="DK33" s="629"/>
      <c r="DL33" s="629"/>
      <c r="DM33" s="631"/>
      <c r="DN33" s="632">
        <v>0</v>
      </c>
      <c r="DO33" s="633"/>
      <c r="DP33" s="632">
        <v>0</v>
      </c>
      <c r="DQ33" s="633"/>
      <c r="DR33" s="632">
        <v>0</v>
      </c>
      <c r="DS33" s="633"/>
      <c r="DT33" s="632">
        <v>0</v>
      </c>
      <c r="DU33" s="633"/>
      <c r="DV33" s="632">
        <v>0</v>
      </c>
      <c r="DW33" s="633"/>
      <c r="DX33" s="632">
        <v>0</v>
      </c>
      <c r="DY33" s="633"/>
      <c r="DZ33" s="632">
        <v>0</v>
      </c>
      <c r="EA33" s="633"/>
      <c r="EB33" s="632">
        <v>0</v>
      </c>
      <c r="EC33" s="633"/>
      <c r="ED33" s="632">
        <v>2411</v>
      </c>
      <c r="EE33" s="633"/>
      <c r="EF33" s="632">
        <v>2411</v>
      </c>
      <c r="EG33" s="633"/>
      <c r="EH33" s="632">
        <v>2411</v>
      </c>
      <c r="EI33" s="633"/>
      <c r="EJ33" s="632">
        <v>2411</v>
      </c>
      <c r="EK33" s="633"/>
      <c r="EL33" s="632">
        <v>2411</v>
      </c>
      <c r="EM33" s="633"/>
      <c r="EN33" s="632">
        <v>2411</v>
      </c>
      <c r="EO33" s="633"/>
      <c r="EP33" s="632">
        <v>2411</v>
      </c>
      <c r="EQ33" s="633"/>
      <c r="ER33" s="632">
        <v>2411</v>
      </c>
      <c r="ES33" s="633"/>
      <c r="ET33" s="632">
        <v>2411</v>
      </c>
      <c r="EU33" s="633"/>
      <c r="EV33" s="632">
        <v>2411</v>
      </c>
      <c r="EW33" s="633"/>
      <c r="EX33" s="632">
        <v>0</v>
      </c>
      <c r="EY33" s="633"/>
      <c r="EZ33" s="632">
        <v>0</v>
      </c>
      <c r="FA33" s="633"/>
      <c r="FB33" s="632">
        <v>0</v>
      </c>
      <c r="FC33" s="633"/>
      <c r="FD33" s="632">
        <v>0</v>
      </c>
      <c r="FE33" s="633"/>
      <c r="FF33" s="632">
        <v>0</v>
      </c>
      <c r="FG33" s="633"/>
      <c r="FH33" s="634">
        <v>0</v>
      </c>
      <c r="FI33" s="636"/>
      <c r="FJ33" s="551"/>
      <c r="FK33" s="629"/>
      <c r="FL33" s="629"/>
      <c r="FM33" s="630" t="s">
        <v>378</v>
      </c>
      <c r="FN33" s="629"/>
      <c r="FO33" s="629"/>
      <c r="FP33" s="637"/>
      <c r="FQ33" s="638"/>
      <c r="FR33" s="632">
        <v>0</v>
      </c>
      <c r="FS33" s="639"/>
      <c r="FT33" s="638"/>
      <c r="FU33" s="640">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201</v>
      </c>
      <c r="GV33" s="795"/>
      <c r="GW33" s="796">
        <v>23.16</v>
      </c>
      <c r="GX33" s="797">
        <v>40.71</v>
      </c>
      <c r="GY33" s="797">
        <v>17.62</v>
      </c>
      <c r="GZ33" s="797">
        <v>0</v>
      </c>
      <c r="HA33" s="797">
        <v>81.490000000000009</v>
      </c>
      <c r="HB33" s="798">
        <v>56.25</v>
      </c>
      <c r="HC33" s="404"/>
      <c r="HD33" s="635"/>
      <c r="HE33" s="406"/>
      <c r="HF33" s="406"/>
    </row>
    <row r="34" spans="1:219" ht="20.100000000000001" customHeight="1">
      <c r="A34" s="799"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799"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799"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459</v>
      </c>
      <c r="GL34" s="807"/>
      <c r="GM34" s="807"/>
      <c r="GN34" s="807"/>
      <c r="GO34" s="807"/>
      <c r="GP34" s="807"/>
      <c r="GQ34" s="602">
        <v>8.5</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824"/>
      <c r="H36" s="825">
        <v>0</v>
      </c>
      <c r="I36" s="826"/>
      <c r="J36" s="827">
        <v>0</v>
      </c>
      <c r="K36" s="828"/>
      <c r="L36" s="827">
        <v>0</v>
      </c>
      <c r="M36" s="828"/>
      <c r="N36" s="827">
        <v>0</v>
      </c>
      <c r="O36" s="828"/>
      <c r="P36" s="827">
        <v>0</v>
      </c>
      <c r="Q36" s="828"/>
      <c r="R36" s="827">
        <v>0</v>
      </c>
      <c r="S36" s="828"/>
      <c r="T36" s="827">
        <v>0</v>
      </c>
      <c r="U36" s="828"/>
      <c r="V36" s="827">
        <v>0</v>
      </c>
      <c r="W36" s="828"/>
      <c r="X36" s="827">
        <v>0</v>
      </c>
      <c r="Y36" s="828"/>
      <c r="Z36" s="827">
        <v>0</v>
      </c>
      <c r="AA36" s="828"/>
      <c r="AB36" s="827">
        <v>0</v>
      </c>
      <c r="AC36" s="828"/>
      <c r="AD36" s="827">
        <v>0</v>
      </c>
      <c r="AE36" s="828"/>
      <c r="AF36" s="827">
        <v>0</v>
      </c>
      <c r="AG36" s="828"/>
      <c r="AH36" s="827">
        <v>0</v>
      </c>
      <c r="AI36" s="828"/>
      <c r="AJ36" s="827">
        <v>0</v>
      </c>
      <c r="AK36" s="828"/>
      <c r="AL36" s="827">
        <v>0</v>
      </c>
      <c r="AM36" s="828"/>
      <c r="AN36" s="827">
        <v>0</v>
      </c>
      <c r="AO36" s="828"/>
      <c r="AP36" s="827">
        <v>0</v>
      </c>
      <c r="AQ36" s="828"/>
      <c r="AR36" s="827">
        <v>0</v>
      </c>
      <c r="AS36" s="828"/>
      <c r="AT36" s="827">
        <v>0</v>
      </c>
      <c r="AU36" s="828"/>
      <c r="AV36" s="827">
        <v>0</v>
      </c>
      <c r="AW36" s="828"/>
      <c r="AX36" s="827">
        <v>0</v>
      </c>
      <c r="AY36" s="828"/>
      <c r="AZ36" s="827">
        <v>0</v>
      </c>
      <c r="BA36" s="828"/>
      <c r="BB36" s="829">
        <v>0</v>
      </c>
      <c r="BC36" s="635"/>
      <c r="BD36" s="811"/>
      <c r="BE36" s="629"/>
      <c r="BF36" s="629"/>
      <c r="BG36" s="630" t="s">
        <v>382</v>
      </c>
      <c r="BH36" s="629"/>
      <c r="BI36" s="629"/>
      <c r="BJ36" s="824"/>
      <c r="BK36" s="825">
        <v>0</v>
      </c>
      <c r="BL36" s="826"/>
      <c r="BM36" s="827">
        <v>0</v>
      </c>
      <c r="BN36" s="828"/>
      <c r="BO36" s="827">
        <v>0</v>
      </c>
      <c r="BP36" s="828"/>
      <c r="BQ36" s="827">
        <v>0</v>
      </c>
      <c r="BR36" s="828"/>
      <c r="BS36" s="827">
        <v>0</v>
      </c>
      <c r="BT36" s="828"/>
      <c r="BU36" s="827">
        <v>0</v>
      </c>
      <c r="BV36" s="828"/>
      <c r="BW36" s="827">
        <v>0</v>
      </c>
      <c r="BX36" s="828"/>
      <c r="BY36" s="827">
        <v>0</v>
      </c>
      <c r="BZ36" s="828"/>
      <c r="CA36" s="827">
        <v>0</v>
      </c>
      <c r="CB36" s="828"/>
      <c r="CC36" s="827">
        <v>0</v>
      </c>
      <c r="CD36" s="828"/>
      <c r="CE36" s="827">
        <v>0</v>
      </c>
      <c r="CF36" s="828"/>
      <c r="CG36" s="827">
        <v>0</v>
      </c>
      <c r="CH36" s="828"/>
      <c r="CI36" s="827">
        <v>0</v>
      </c>
      <c r="CJ36" s="828"/>
      <c r="CK36" s="827">
        <v>0</v>
      </c>
      <c r="CL36" s="828"/>
      <c r="CM36" s="827">
        <v>0</v>
      </c>
      <c r="CN36" s="828"/>
      <c r="CO36" s="827">
        <v>0</v>
      </c>
      <c r="CP36" s="828"/>
      <c r="CQ36" s="827">
        <v>0</v>
      </c>
      <c r="CR36" s="828"/>
      <c r="CS36" s="827">
        <v>0</v>
      </c>
      <c r="CT36" s="828"/>
      <c r="CU36" s="827">
        <v>0</v>
      </c>
      <c r="CV36" s="828"/>
      <c r="CW36" s="827">
        <v>0</v>
      </c>
      <c r="CX36" s="828"/>
      <c r="CY36" s="827">
        <v>0</v>
      </c>
      <c r="CZ36" s="828"/>
      <c r="DA36" s="827">
        <v>0</v>
      </c>
      <c r="DB36" s="828"/>
      <c r="DC36" s="827">
        <v>0</v>
      </c>
      <c r="DD36" s="828"/>
      <c r="DE36" s="829">
        <v>0</v>
      </c>
      <c r="DF36" s="635"/>
      <c r="DG36" s="811"/>
      <c r="DH36" s="629"/>
      <c r="DI36" s="629"/>
      <c r="DJ36" s="630" t="s">
        <v>382</v>
      </c>
      <c r="DK36" s="629"/>
      <c r="DL36" s="629"/>
      <c r="DM36" s="824"/>
      <c r="DN36" s="825">
        <v>0</v>
      </c>
      <c r="DO36" s="826"/>
      <c r="DP36" s="827">
        <v>0</v>
      </c>
      <c r="DQ36" s="828"/>
      <c r="DR36" s="827">
        <v>0</v>
      </c>
      <c r="DS36" s="828"/>
      <c r="DT36" s="827">
        <v>0</v>
      </c>
      <c r="DU36" s="828"/>
      <c r="DV36" s="827">
        <v>0</v>
      </c>
      <c r="DW36" s="828"/>
      <c r="DX36" s="827">
        <v>0</v>
      </c>
      <c r="DY36" s="828"/>
      <c r="DZ36" s="827">
        <v>0</v>
      </c>
      <c r="EA36" s="828"/>
      <c r="EB36" s="827">
        <v>0</v>
      </c>
      <c r="EC36" s="828"/>
      <c r="ED36" s="827">
        <v>0</v>
      </c>
      <c r="EE36" s="828"/>
      <c r="EF36" s="827">
        <v>0</v>
      </c>
      <c r="EG36" s="828"/>
      <c r="EH36" s="827">
        <v>0</v>
      </c>
      <c r="EI36" s="828"/>
      <c r="EJ36" s="827">
        <v>0</v>
      </c>
      <c r="EK36" s="828"/>
      <c r="EL36" s="827">
        <v>0</v>
      </c>
      <c r="EM36" s="828"/>
      <c r="EN36" s="827">
        <v>0</v>
      </c>
      <c r="EO36" s="828"/>
      <c r="EP36" s="827">
        <v>0</v>
      </c>
      <c r="EQ36" s="828"/>
      <c r="ER36" s="827">
        <v>0</v>
      </c>
      <c r="ES36" s="828"/>
      <c r="ET36" s="827">
        <v>0</v>
      </c>
      <c r="EU36" s="828"/>
      <c r="EV36" s="827">
        <v>0</v>
      </c>
      <c r="EW36" s="828"/>
      <c r="EX36" s="827">
        <v>0</v>
      </c>
      <c r="EY36" s="828"/>
      <c r="EZ36" s="827">
        <v>0</v>
      </c>
      <c r="FA36" s="828"/>
      <c r="FB36" s="827">
        <v>0</v>
      </c>
      <c r="FC36" s="828"/>
      <c r="FD36" s="827">
        <v>0</v>
      </c>
      <c r="FE36" s="828"/>
      <c r="FF36" s="827">
        <v>0</v>
      </c>
      <c r="FG36" s="828"/>
      <c r="FH36" s="829">
        <v>0</v>
      </c>
      <c r="FI36" s="636"/>
      <c r="FJ36" s="820"/>
      <c r="FK36" s="629"/>
      <c r="FL36" s="629"/>
      <c r="FM36" s="630" t="s">
        <v>382</v>
      </c>
      <c r="FN36" s="629"/>
      <c r="FO36" s="629"/>
      <c r="FP36" s="637"/>
      <c r="FQ36" s="826"/>
      <c r="FR36" s="825">
        <v>0</v>
      </c>
      <c r="FS36" s="830"/>
      <c r="FT36" s="826"/>
      <c r="FU36" s="83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81.490000000000009</v>
      </c>
      <c r="HB38" s="854">
        <v>56.25</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1.45</v>
      </c>
      <c r="HB39" s="566"/>
      <c r="HC39" s="517"/>
      <c r="HD39" s="549"/>
    </row>
    <row r="40" spans="1:219" ht="20.100000000000001" customHeight="1">
      <c r="A40" s="868"/>
      <c r="B40" s="629"/>
      <c r="C40" s="629"/>
      <c r="D40" s="630" t="s">
        <v>393</v>
      </c>
      <c r="E40" s="629"/>
      <c r="F40" s="629"/>
      <c r="G40" s="824"/>
      <c r="H40" s="825">
        <v>0</v>
      </c>
      <c r="I40" s="826"/>
      <c r="J40" s="827">
        <v>0</v>
      </c>
      <c r="K40" s="828"/>
      <c r="L40" s="827">
        <v>0</v>
      </c>
      <c r="M40" s="828"/>
      <c r="N40" s="827">
        <v>0</v>
      </c>
      <c r="O40" s="828"/>
      <c r="P40" s="827">
        <v>0</v>
      </c>
      <c r="Q40" s="828"/>
      <c r="R40" s="827">
        <v>0</v>
      </c>
      <c r="S40" s="828"/>
      <c r="T40" s="827">
        <v>0</v>
      </c>
      <c r="U40" s="828"/>
      <c r="V40" s="827">
        <v>0</v>
      </c>
      <c r="W40" s="828"/>
      <c r="X40" s="827">
        <v>0</v>
      </c>
      <c r="Y40" s="828"/>
      <c r="Z40" s="827">
        <v>0</v>
      </c>
      <c r="AA40" s="828"/>
      <c r="AB40" s="827">
        <v>0</v>
      </c>
      <c r="AC40" s="828"/>
      <c r="AD40" s="827">
        <v>0</v>
      </c>
      <c r="AE40" s="828"/>
      <c r="AF40" s="827">
        <v>0</v>
      </c>
      <c r="AG40" s="828"/>
      <c r="AH40" s="827">
        <v>0</v>
      </c>
      <c r="AI40" s="828"/>
      <c r="AJ40" s="827">
        <v>0</v>
      </c>
      <c r="AK40" s="828"/>
      <c r="AL40" s="827">
        <v>0</v>
      </c>
      <c r="AM40" s="828"/>
      <c r="AN40" s="827">
        <v>0</v>
      </c>
      <c r="AO40" s="828"/>
      <c r="AP40" s="827">
        <v>0</v>
      </c>
      <c r="AQ40" s="828"/>
      <c r="AR40" s="827">
        <v>0</v>
      </c>
      <c r="AS40" s="828"/>
      <c r="AT40" s="827">
        <v>0</v>
      </c>
      <c r="AU40" s="828"/>
      <c r="AV40" s="827">
        <v>0</v>
      </c>
      <c r="AW40" s="828"/>
      <c r="AX40" s="827">
        <v>0</v>
      </c>
      <c r="AY40" s="828"/>
      <c r="AZ40" s="827">
        <v>0</v>
      </c>
      <c r="BA40" s="828"/>
      <c r="BB40" s="829">
        <v>0</v>
      </c>
      <c r="BC40" s="635"/>
      <c r="BD40" s="868"/>
      <c r="BE40" s="629"/>
      <c r="BF40" s="629"/>
      <c r="BG40" s="630" t="s">
        <v>393</v>
      </c>
      <c r="BH40" s="629"/>
      <c r="BI40" s="629"/>
      <c r="BJ40" s="824"/>
      <c r="BK40" s="825">
        <v>0</v>
      </c>
      <c r="BL40" s="826"/>
      <c r="BM40" s="827">
        <v>0</v>
      </c>
      <c r="BN40" s="828"/>
      <c r="BO40" s="827">
        <v>0</v>
      </c>
      <c r="BP40" s="828"/>
      <c r="BQ40" s="827">
        <v>0</v>
      </c>
      <c r="BR40" s="828"/>
      <c r="BS40" s="827">
        <v>0</v>
      </c>
      <c r="BT40" s="828"/>
      <c r="BU40" s="827">
        <v>0</v>
      </c>
      <c r="BV40" s="828"/>
      <c r="BW40" s="827">
        <v>0</v>
      </c>
      <c r="BX40" s="828"/>
      <c r="BY40" s="827">
        <v>0</v>
      </c>
      <c r="BZ40" s="828"/>
      <c r="CA40" s="827">
        <v>0</v>
      </c>
      <c r="CB40" s="828"/>
      <c r="CC40" s="827">
        <v>0</v>
      </c>
      <c r="CD40" s="828"/>
      <c r="CE40" s="827">
        <v>0</v>
      </c>
      <c r="CF40" s="828"/>
      <c r="CG40" s="827">
        <v>0</v>
      </c>
      <c r="CH40" s="828"/>
      <c r="CI40" s="827">
        <v>0</v>
      </c>
      <c r="CJ40" s="828"/>
      <c r="CK40" s="827">
        <v>0</v>
      </c>
      <c r="CL40" s="828"/>
      <c r="CM40" s="827">
        <v>0</v>
      </c>
      <c r="CN40" s="828"/>
      <c r="CO40" s="827">
        <v>0</v>
      </c>
      <c r="CP40" s="828"/>
      <c r="CQ40" s="827">
        <v>0</v>
      </c>
      <c r="CR40" s="828"/>
      <c r="CS40" s="827">
        <v>0</v>
      </c>
      <c r="CT40" s="828"/>
      <c r="CU40" s="827">
        <v>0</v>
      </c>
      <c r="CV40" s="828"/>
      <c r="CW40" s="827">
        <v>0</v>
      </c>
      <c r="CX40" s="828"/>
      <c r="CY40" s="827">
        <v>0</v>
      </c>
      <c r="CZ40" s="828"/>
      <c r="DA40" s="827">
        <v>0</v>
      </c>
      <c r="DB40" s="828"/>
      <c r="DC40" s="827">
        <v>0</v>
      </c>
      <c r="DD40" s="828"/>
      <c r="DE40" s="829">
        <v>0</v>
      </c>
      <c r="DF40" s="635"/>
      <c r="DG40" s="868"/>
      <c r="DH40" s="629"/>
      <c r="DI40" s="629"/>
      <c r="DJ40" s="630" t="s">
        <v>393</v>
      </c>
      <c r="DK40" s="629"/>
      <c r="DL40" s="629"/>
      <c r="DM40" s="824"/>
      <c r="DN40" s="825">
        <v>0</v>
      </c>
      <c r="DO40" s="826"/>
      <c r="DP40" s="827">
        <v>0</v>
      </c>
      <c r="DQ40" s="828"/>
      <c r="DR40" s="827">
        <v>0</v>
      </c>
      <c r="DS40" s="828"/>
      <c r="DT40" s="827">
        <v>0</v>
      </c>
      <c r="DU40" s="828"/>
      <c r="DV40" s="827">
        <v>0</v>
      </c>
      <c r="DW40" s="828"/>
      <c r="DX40" s="827">
        <v>0</v>
      </c>
      <c r="DY40" s="828"/>
      <c r="DZ40" s="827">
        <v>0</v>
      </c>
      <c r="EA40" s="828"/>
      <c r="EB40" s="827">
        <v>0</v>
      </c>
      <c r="EC40" s="828"/>
      <c r="ED40" s="827">
        <v>0</v>
      </c>
      <c r="EE40" s="828"/>
      <c r="EF40" s="827">
        <v>0</v>
      </c>
      <c r="EG40" s="828"/>
      <c r="EH40" s="827">
        <v>0</v>
      </c>
      <c r="EI40" s="828"/>
      <c r="EJ40" s="827">
        <v>0</v>
      </c>
      <c r="EK40" s="828"/>
      <c r="EL40" s="827">
        <v>0</v>
      </c>
      <c r="EM40" s="828"/>
      <c r="EN40" s="827">
        <v>0</v>
      </c>
      <c r="EO40" s="828"/>
      <c r="EP40" s="827">
        <v>0</v>
      </c>
      <c r="EQ40" s="828"/>
      <c r="ER40" s="827">
        <v>0</v>
      </c>
      <c r="ES40" s="828"/>
      <c r="ET40" s="827">
        <v>0</v>
      </c>
      <c r="EU40" s="828"/>
      <c r="EV40" s="827">
        <v>0</v>
      </c>
      <c r="EW40" s="828"/>
      <c r="EX40" s="827">
        <v>0</v>
      </c>
      <c r="EY40" s="828"/>
      <c r="EZ40" s="827">
        <v>0</v>
      </c>
      <c r="FA40" s="828"/>
      <c r="FB40" s="827">
        <v>0</v>
      </c>
      <c r="FC40" s="828"/>
      <c r="FD40" s="827">
        <v>0</v>
      </c>
      <c r="FE40" s="828"/>
      <c r="FF40" s="827">
        <v>0</v>
      </c>
      <c r="FG40" s="828"/>
      <c r="FH40" s="829">
        <v>0</v>
      </c>
      <c r="FI40" s="636"/>
      <c r="FJ40" s="820"/>
      <c r="FK40" s="629"/>
      <c r="FL40" s="629"/>
      <c r="FM40" s="630" t="s">
        <v>393</v>
      </c>
      <c r="FN40" s="629"/>
      <c r="FO40" s="629"/>
      <c r="FP40" s="637"/>
      <c r="FQ40" s="826"/>
      <c r="FR40" s="825">
        <v>0</v>
      </c>
      <c r="FS40" s="830"/>
      <c r="FT40" s="826"/>
      <c r="FU40" s="83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487</v>
      </c>
      <c r="GV40" s="517"/>
      <c r="GW40" s="517"/>
      <c r="GX40" s="517"/>
      <c r="GY40" s="517"/>
      <c r="GZ40" s="517"/>
      <c r="HA40" s="873">
        <v>32.6</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488</v>
      </c>
      <c r="GV41" s="517"/>
      <c r="GW41" s="517"/>
      <c r="GX41" s="517"/>
      <c r="GY41" s="517"/>
      <c r="GZ41" s="517"/>
      <c r="HA41" s="873">
        <v>27.4</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478</v>
      </c>
      <c r="Y42" s="818"/>
      <c r="Z42" s="782">
        <v>287</v>
      </c>
      <c r="AA42" s="818"/>
      <c r="AB42" s="782">
        <v>264</v>
      </c>
      <c r="AC42" s="818"/>
      <c r="AD42" s="782">
        <v>242</v>
      </c>
      <c r="AE42" s="818"/>
      <c r="AF42" s="782">
        <v>225</v>
      </c>
      <c r="AG42" s="818"/>
      <c r="AH42" s="782">
        <v>203</v>
      </c>
      <c r="AI42" s="818"/>
      <c r="AJ42" s="782">
        <v>191</v>
      </c>
      <c r="AK42" s="818"/>
      <c r="AL42" s="782">
        <v>174</v>
      </c>
      <c r="AM42" s="818"/>
      <c r="AN42" s="782">
        <v>158</v>
      </c>
      <c r="AO42" s="818"/>
      <c r="AP42" s="782">
        <v>146</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478</v>
      </c>
      <c r="CB42" s="818"/>
      <c r="CC42" s="782">
        <v>287</v>
      </c>
      <c r="CD42" s="818"/>
      <c r="CE42" s="782">
        <v>264</v>
      </c>
      <c r="CF42" s="818"/>
      <c r="CG42" s="782">
        <v>242</v>
      </c>
      <c r="CH42" s="818"/>
      <c r="CI42" s="782">
        <v>225</v>
      </c>
      <c r="CJ42" s="818"/>
      <c r="CK42" s="782">
        <v>203</v>
      </c>
      <c r="CL42" s="818"/>
      <c r="CM42" s="782">
        <v>191</v>
      </c>
      <c r="CN42" s="818"/>
      <c r="CO42" s="782">
        <v>174</v>
      </c>
      <c r="CP42" s="818"/>
      <c r="CQ42" s="782">
        <v>158</v>
      </c>
      <c r="CR42" s="818"/>
      <c r="CS42" s="782">
        <v>146</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478</v>
      </c>
      <c r="EE42" s="818"/>
      <c r="EF42" s="782">
        <v>287</v>
      </c>
      <c r="EG42" s="818"/>
      <c r="EH42" s="782">
        <v>264</v>
      </c>
      <c r="EI42" s="818"/>
      <c r="EJ42" s="782">
        <v>242</v>
      </c>
      <c r="EK42" s="818"/>
      <c r="EL42" s="782">
        <v>225</v>
      </c>
      <c r="EM42" s="818"/>
      <c r="EN42" s="782">
        <v>203</v>
      </c>
      <c r="EO42" s="818"/>
      <c r="EP42" s="782">
        <v>191</v>
      </c>
      <c r="EQ42" s="818"/>
      <c r="ER42" s="782">
        <v>174</v>
      </c>
      <c r="ES42" s="818"/>
      <c r="ET42" s="782">
        <v>158</v>
      </c>
      <c r="EU42" s="818"/>
      <c r="EV42" s="782">
        <v>146</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433</v>
      </c>
      <c r="FS42" s="822"/>
      <c r="FT42" s="817"/>
      <c r="FU42" s="788">
        <v>433</v>
      </c>
      <c r="FV42" s="580"/>
      <c r="FW42" s="581"/>
      <c r="FX42" s="789"/>
      <c r="FY42" s="583"/>
      <c r="FZ42" s="790"/>
      <c r="GA42" s="585"/>
      <c r="GB42" s="791"/>
      <c r="GC42" s="587"/>
      <c r="GD42" s="791"/>
      <c r="GE42" s="588"/>
      <c r="GF42" s="823"/>
      <c r="GG42" s="589"/>
      <c r="GH42" s="589"/>
      <c r="GI42" s="589"/>
      <c r="GJ42" s="400"/>
      <c r="GK42" s="887"/>
      <c r="GL42" s="888"/>
      <c r="GM42" s="889">
        <v>8.5</v>
      </c>
      <c r="GN42" s="889"/>
      <c r="GO42" s="889">
        <v>0</v>
      </c>
      <c r="GP42" s="889"/>
      <c r="GQ42" s="889">
        <v>8.5</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824"/>
      <c r="H44" s="825">
        <v>0</v>
      </c>
      <c r="I44" s="826"/>
      <c r="J44" s="827">
        <v>0</v>
      </c>
      <c r="K44" s="828"/>
      <c r="L44" s="827">
        <v>0</v>
      </c>
      <c r="M44" s="828"/>
      <c r="N44" s="827">
        <v>0</v>
      </c>
      <c r="O44" s="828"/>
      <c r="P44" s="827">
        <v>0</v>
      </c>
      <c r="Q44" s="828"/>
      <c r="R44" s="827">
        <v>0</v>
      </c>
      <c r="S44" s="828"/>
      <c r="T44" s="827">
        <v>0</v>
      </c>
      <c r="U44" s="828"/>
      <c r="V44" s="827">
        <v>0</v>
      </c>
      <c r="W44" s="828"/>
      <c r="X44" s="827">
        <v>478</v>
      </c>
      <c r="Y44" s="828"/>
      <c r="Z44" s="827">
        <v>287</v>
      </c>
      <c r="AA44" s="828"/>
      <c r="AB44" s="827">
        <v>264</v>
      </c>
      <c r="AC44" s="828"/>
      <c r="AD44" s="827">
        <v>242</v>
      </c>
      <c r="AE44" s="828"/>
      <c r="AF44" s="827">
        <v>225</v>
      </c>
      <c r="AG44" s="828"/>
      <c r="AH44" s="827">
        <v>203</v>
      </c>
      <c r="AI44" s="828"/>
      <c r="AJ44" s="827">
        <v>191</v>
      </c>
      <c r="AK44" s="828"/>
      <c r="AL44" s="827">
        <v>174</v>
      </c>
      <c r="AM44" s="828"/>
      <c r="AN44" s="827">
        <v>158</v>
      </c>
      <c r="AO44" s="828"/>
      <c r="AP44" s="827">
        <v>146</v>
      </c>
      <c r="AQ44" s="828"/>
      <c r="AR44" s="827">
        <v>0</v>
      </c>
      <c r="AS44" s="828"/>
      <c r="AT44" s="827">
        <v>0</v>
      </c>
      <c r="AU44" s="828"/>
      <c r="AV44" s="827">
        <v>0</v>
      </c>
      <c r="AW44" s="828"/>
      <c r="AX44" s="827">
        <v>0</v>
      </c>
      <c r="AY44" s="828"/>
      <c r="AZ44" s="827">
        <v>0</v>
      </c>
      <c r="BA44" s="828"/>
      <c r="BB44" s="829">
        <v>0</v>
      </c>
      <c r="BC44" s="635"/>
      <c r="BD44" s="912"/>
      <c r="BE44" s="629"/>
      <c r="BF44" s="629"/>
      <c r="BG44" s="630" t="s">
        <v>397</v>
      </c>
      <c r="BH44" s="629"/>
      <c r="BI44" s="629"/>
      <c r="BJ44" s="824"/>
      <c r="BK44" s="825">
        <v>0</v>
      </c>
      <c r="BL44" s="826"/>
      <c r="BM44" s="827">
        <v>0</v>
      </c>
      <c r="BN44" s="828"/>
      <c r="BO44" s="827">
        <v>0</v>
      </c>
      <c r="BP44" s="828"/>
      <c r="BQ44" s="827">
        <v>0</v>
      </c>
      <c r="BR44" s="828"/>
      <c r="BS44" s="827">
        <v>0</v>
      </c>
      <c r="BT44" s="828"/>
      <c r="BU44" s="827">
        <v>0</v>
      </c>
      <c r="BV44" s="828"/>
      <c r="BW44" s="827">
        <v>0</v>
      </c>
      <c r="BX44" s="828"/>
      <c r="BY44" s="827">
        <v>0</v>
      </c>
      <c r="BZ44" s="828"/>
      <c r="CA44" s="827">
        <v>478</v>
      </c>
      <c r="CB44" s="828"/>
      <c r="CC44" s="827">
        <v>287</v>
      </c>
      <c r="CD44" s="828"/>
      <c r="CE44" s="827">
        <v>264</v>
      </c>
      <c r="CF44" s="828"/>
      <c r="CG44" s="827">
        <v>242</v>
      </c>
      <c r="CH44" s="828"/>
      <c r="CI44" s="827">
        <v>225</v>
      </c>
      <c r="CJ44" s="828"/>
      <c r="CK44" s="827">
        <v>203</v>
      </c>
      <c r="CL44" s="828"/>
      <c r="CM44" s="827">
        <v>191</v>
      </c>
      <c r="CN44" s="828"/>
      <c r="CO44" s="827">
        <v>174</v>
      </c>
      <c r="CP44" s="828"/>
      <c r="CQ44" s="827">
        <v>158</v>
      </c>
      <c r="CR44" s="828"/>
      <c r="CS44" s="827">
        <v>146</v>
      </c>
      <c r="CT44" s="828"/>
      <c r="CU44" s="827">
        <v>0</v>
      </c>
      <c r="CV44" s="828"/>
      <c r="CW44" s="827">
        <v>0</v>
      </c>
      <c r="CX44" s="828"/>
      <c r="CY44" s="827">
        <v>0</v>
      </c>
      <c r="CZ44" s="828"/>
      <c r="DA44" s="827">
        <v>0</v>
      </c>
      <c r="DB44" s="828"/>
      <c r="DC44" s="827">
        <v>0</v>
      </c>
      <c r="DD44" s="828"/>
      <c r="DE44" s="829">
        <v>0</v>
      </c>
      <c r="DF44" s="635"/>
      <c r="DG44" s="912"/>
      <c r="DH44" s="629"/>
      <c r="DI44" s="629"/>
      <c r="DJ44" s="630" t="s">
        <v>397</v>
      </c>
      <c r="DK44" s="629"/>
      <c r="DL44" s="629"/>
      <c r="DM44" s="824"/>
      <c r="DN44" s="825">
        <v>0</v>
      </c>
      <c r="DO44" s="826"/>
      <c r="DP44" s="827">
        <v>0</v>
      </c>
      <c r="DQ44" s="828"/>
      <c r="DR44" s="827">
        <v>0</v>
      </c>
      <c r="DS44" s="828"/>
      <c r="DT44" s="827">
        <v>0</v>
      </c>
      <c r="DU44" s="828"/>
      <c r="DV44" s="827">
        <v>0</v>
      </c>
      <c r="DW44" s="828"/>
      <c r="DX44" s="827">
        <v>0</v>
      </c>
      <c r="DY44" s="828"/>
      <c r="DZ44" s="827">
        <v>0</v>
      </c>
      <c r="EA44" s="828"/>
      <c r="EB44" s="827">
        <v>0</v>
      </c>
      <c r="EC44" s="828"/>
      <c r="ED44" s="827">
        <v>478</v>
      </c>
      <c r="EE44" s="828"/>
      <c r="EF44" s="827">
        <v>287</v>
      </c>
      <c r="EG44" s="828"/>
      <c r="EH44" s="827">
        <v>264</v>
      </c>
      <c r="EI44" s="828"/>
      <c r="EJ44" s="827">
        <v>242</v>
      </c>
      <c r="EK44" s="828"/>
      <c r="EL44" s="827">
        <v>225</v>
      </c>
      <c r="EM44" s="828"/>
      <c r="EN44" s="827">
        <v>203</v>
      </c>
      <c r="EO44" s="828"/>
      <c r="EP44" s="827">
        <v>191</v>
      </c>
      <c r="EQ44" s="828"/>
      <c r="ER44" s="827">
        <v>174</v>
      </c>
      <c r="ES44" s="828"/>
      <c r="ET44" s="827">
        <v>158</v>
      </c>
      <c r="EU44" s="828"/>
      <c r="EV44" s="827">
        <v>146</v>
      </c>
      <c r="EW44" s="828"/>
      <c r="EX44" s="827">
        <v>0</v>
      </c>
      <c r="EY44" s="828"/>
      <c r="EZ44" s="827">
        <v>0</v>
      </c>
      <c r="FA44" s="828"/>
      <c r="FB44" s="827">
        <v>0</v>
      </c>
      <c r="FC44" s="828"/>
      <c r="FD44" s="827">
        <v>0</v>
      </c>
      <c r="FE44" s="828"/>
      <c r="FF44" s="827">
        <v>0</v>
      </c>
      <c r="FG44" s="828"/>
      <c r="FH44" s="829">
        <v>0</v>
      </c>
      <c r="FI44" s="636"/>
      <c r="FJ44" s="913"/>
      <c r="FK44" s="629"/>
      <c r="FL44" s="629"/>
      <c r="FM44" s="630" t="s">
        <v>397</v>
      </c>
      <c r="FN44" s="629"/>
      <c r="FO44" s="629"/>
      <c r="FP44" s="637"/>
      <c r="FQ44" s="826"/>
      <c r="FR44" s="825">
        <v>433</v>
      </c>
      <c r="FS44" s="830"/>
      <c r="FT44" s="826"/>
      <c r="FU44" s="831">
        <v>433</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5.5</v>
      </c>
      <c r="GN44" s="914"/>
      <c r="GO44" s="914">
        <v>0</v>
      </c>
      <c r="GP44" s="914"/>
      <c r="GQ44" s="889">
        <v>5.5</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3503</v>
      </c>
      <c r="Y45" s="923"/>
      <c r="Z45" s="922">
        <v>3508</v>
      </c>
      <c r="AA45" s="923"/>
      <c r="AB45" s="922">
        <v>3633</v>
      </c>
      <c r="AC45" s="923"/>
      <c r="AD45" s="922">
        <v>3658</v>
      </c>
      <c r="AE45" s="923"/>
      <c r="AF45" s="922">
        <v>3589</v>
      </c>
      <c r="AG45" s="923"/>
      <c r="AH45" s="922">
        <v>3416</v>
      </c>
      <c r="AI45" s="923"/>
      <c r="AJ45" s="922">
        <v>3401</v>
      </c>
      <c r="AK45" s="923"/>
      <c r="AL45" s="922">
        <v>3360</v>
      </c>
      <c r="AM45" s="923"/>
      <c r="AN45" s="922">
        <v>3265</v>
      </c>
      <c r="AO45" s="923"/>
      <c r="AP45" s="922">
        <v>3155</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3511</v>
      </c>
      <c r="CB45" s="923"/>
      <c r="CC45" s="922">
        <v>3547</v>
      </c>
      <c r="CD45" s="923"/>
      <c r="CE45" s="922">
        <v>3681</v>
      </c>
      <c r="CF45" s="923"/>
      <c r="CG45" s="922">
        <v>3679</v>
      </c>
      <c r="CH45" s="923"/>
      <c r="CI45" s="922">
        <v>3566</v>
      </c>
      <c r="CJ45" s="923"/>
      <c r="CK45" s="922">
        <v>3300</v>
      </c>
      <c r="CL45" s="923"/>
      <c r="CM45" s="922">
        <v>3326</v>
      </c>
      <c r="CN45" s="923"/>
      <c r="CO45" s="922">
        <v>3314</v>
      </c>
      <c r="CP45" s="923"/>
      <c r="CQ45" s="922">
        <v>3292</v>
      </c>
      <c r="CR45" s="923"/>
      <c r="CS45" s="922">
        <v>3219</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3883</v>
      </c>
      <c r="EE45" s="923"/>
      <c r="EF45" s="922">
        <v>3981</v>
      </c>
      <c r="EG45" s="923"/>
      <c r="EH45" s="922">
        <v>4132</v>
      </c>
      <c r="EI45" s="923"/>
      <c r="EJ45" s="922">
        <v>4128</v>
      </c>
      <c r="EK45" s="923"/>
      <c r="EL45" s="922">
        <v>3963</v>
      </c>
      <c r="EM45" s="923"/>
      <c r="EN45" s="922">
        <v>3688</v>
      </c>
      <c r="EO45" s="923"/>
      <c r="EP45" s="922">
        <v>3392</v>
      </c>
      <c r="EQ45" s="923"/>
      <c r="ER45" s="922">
        <v>3208</v>
      </c>
      <c r="ES45" s="923"/>
      <c r="ET45" s="922">
        <v>3128</v>
      </c>
      <c r="EU45" s="923"/>
      <c r="EV45" s="922">
        <v>3042</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1818</v>
      </c>
      <c r="FS45" s="927"/>
      <c r="FT45" s="926"/>
      <c r="FU45" s="928">
        <v>1855</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399</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399</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401</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3678</v>
      </c>
      <c r="Y47" s="955"/>
      <c r="Z47" s="954">
        <v>3683</v>
      </c>
      <c r="AA47" s="955"/>
      <c r="AB47" s="954">
        <v>3815</v>
      </c>
      <c r="AC47" s="955"/>
      <c r="AD47" s="954">
        <v>3841</v>
      </c>
      <c r="AE47" s="955"/>
      <c r="AF47" s="954">
        <v>3768</v>
      </c>
      <c r="AG47" s="955"/>
      <c r="AH47" s="954">
        <v>3587</v>
      </c>
      <c r="AI47" s="955"/>
      <c r="AJ47" s="954">
        <v>3571</v>
      </c>
      <c r="AK47" s="955"/>
      <c r="AL47" s="954">
        <v>3528</v>
      </c>
      <c r="AM47" s="955"/>
      <c r="AN47" s="954">
        <v>3428</v>
      </c>
      <c r="AO47" s="955"/>
      <c r="AP47" s="954">
        <v>3313</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3687</v>
      </c>
      <c r="CB47" s="955"/>
      <c r="CC47" s="954">
        <v>3724</v>
      </c>
      <c r="CD47" s="955"/>
      <c r="CE47" s="954">
        <v>3865</v>
      </c>
      <c r="CF47" s="955"/>
      <c r="CG47" s="954">
        <v>3863</v>
      </c>
      <c r="CH47" s="955"/>
      <c r="CI47" s="954">
        <v>3744</v>
      </c>
      <c r="CJ47" s="955"/>
      <c r="CK47" s="954">
        <v>3465</v>
      </c>
      <c r="CL47" s="955"/>
      <c r="CM47" s="954">
        <v>3492</v>
      </c>
      <c r="CN47" s="955"/>
      <c r="CO47" s="954">
        <v>3480</v>
      </c>
      <c r="CP47" s="955"/>
      <c r="CQ47" s="954">
        <v>3457</v>
      </c>
      <c r="CR47" s="955"/>
      <c r="CS47" s="954">
        <v>3380</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4077</v>
      </c>
      <c r="EE47" s="955"/>
      <c r="EF47" s="954">
        <v>4180</v>
      </c>
      <c r="EG47" s="955"/>
      <c r="EH47" s="954">
        <v>4339</v>
      </c>
      <c r="EI47" s="955"/>
      <c r="EJ47" s="954">
        <v>4334</v>
      </c>
      <c r="EK47" s="955"/>
      <c r="EL47" s="954">
        <v>4161</v>
      </c>
      <c r="EM47" s="955"/>
      <c r="EN47" s="954">
        <v>3872</v>
      </c>
      <c r="EO47" s="955"/>
      <c r="EP47" s="954">
        <v>3562</v>
      </c>
      <c r="EQ47" s="955"/>
      <c r="ER47" s="954">
        <v>3368</v>
      </c>
      <c r="ES47" s="955"/>
      <c r="ET47" s="954">
        <v>3284</v>
      </c>
      <c r="EU47" s="955"/>
      <c r="EV47" s="954">
        <v>3194</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1818</v>
      </c>
      <c r="FS47" s="963"/>
      <c r="FT47" s="962"/>
      <c r="FU47" s="964">
        <v>1855</v>
      </c>
      <c r="FV47" s="965">
        <v>12</v>
      </c>
      <c r="FW47" s="954">
        <v>3841</v>
      </c>
      <c r="FX47" s="966">
        <v>11</v>
      </c>
      <c r="FY47" s="954">
        <v>3865</v>
      </c>
      <c r="FZ47" s="966">
        <v>11</v>
      </c>
      <c r="GA47" s="954">
        <v>4339</v>
      </c>
      <c r="GB47" s="967" t="s">
        <v>330</v>
      </c>
      <c r="GC47" s="954">
        <v>4339</v>
      </c>
      <c r="GD47" s="967" t="s">
        <v>332</v>
      </c>
      <c r="GE47" s="968">
        <v>1855</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v>66</v>
      </c>
      <c r="E49" s="738">
        <v>6</v>
      </c>
      <c r="F49" s="982" t="s">
        <v>373</v>
      </c>
      <c r="G49" s="740"/>
      <c r="H49" s="546"/>
      <c r="I49" s="741"/>
      <c r="J49" s="546"/>
      <c r="K49" s="741"/>
      <c r="L49" s="546"/>
      <c r="M49" s="741"/>
      <c r="N49" s="546"/>
      <c r="O49" s="741"/>
      <c r="P49" s="546"/>
      <c r="Q49" s="741"/>
      <c r="R49" s="546"/>
      <c r="S49" s="741"/>
      <c r="T49" s="546"/>
      <c r="U49" s="741"/>
      <c r="V49" s="546"/>
      <c r="W49" s="741">
        <v>1</v>
      </c>
      <c r="X49" s="546">
        <v>396</v>
      </c>
      <c r="Y49" s="741">
        <v>1</v>
      </c>
      <c r="Z49" s="546">
        <v>396</v>
      </c>
      <c r="AA49" s="741">
        <v>1</v>
      </c>
      <c r="AB49" s="546">
        <v>396</v>
      </c>
      <c r="AC49" s="741">
        <v>1</v>
      </c>
      <c r="AD49" s="546">
        <v>396</v>
      </c>
      <c r="AE49" s="741">
        <v>1</v>
      </c>
      <c r="AF49" s="546">
        <v>396</v>
      </c>
      <c r="AG49" s="741">
        <v>1</v>
      </c>
      <c r="AH49" s="546">
        <v>396</v>
      </c>
      <c r="AI49" s="741">
        <v>1</v>
      </c>
      <c r="AJ49" s="546">
        <v>396</v>
      </c>
      <c r="AK49" s="741">
        <v>1</v>
      </c>
      <c r="AL49" s="546">
        <v>396</v>
      </c>
      <c r="AM49" s="741">
        <v>1</v>
      </c>
      <c r="AN49" s="546">
        <v>396</v>
      </c>
      <c r="AO49" s="741">
        <v>1</v>
      </c>
      <c r="AP49" s="546">
        <v>396</v>
      </c>
      <c r="AQ49" s="741"/>
      <c r="AR49" s="546"/>
      <c r="AS49" s="741"/>
      <c r="AT49" s="546"/>
      <c r="AU49" s="741"/>
      <c r="AV49" s="546"/>
      <c r="AW49" s="741"/>
      <c r="AX49" s="546"/>
      <c r="AY49" s="983"/>
      <c r="AZ49" s="984"/>
      <c r="BA49" s="985"/>
      <c r="BB49" s="986"/>
      <c r="BC49" s="917"/>
      <c r="BD49" s="980"/>
      <c r="BE49" s="735" t="s">
        <v>372</v>
      </c>
      <c r="BF49" s="981"/>
      <c r="BG49" s="737"/>
      <c r="BH49" s="738">
        <v>6</v>
      </c>
      <c r="BI49" s="982" t="s">
        <v>373</v>
      </c>
      <c r="BJ49" s="740"/>
      <c r="BK49" s="546"/>
      <c r="BL49" s="741"/>
      <c r="BM49" s="546"/>
      <c r="BN49" s="741"/>
      <c r="BO49" s="546"/>
      <c r="BP49" s="741"/>
      <c r="BQ49" s="546"/>
      <c r="BR49" s="741"/>
      <c r="BS49" s="546"/>
      <c r="BT49" s="741"/>
      <c r="BU49" s="546"/>
      <c r="BV49" s="741"/>
      <c r="BW49" s="546"/>
      <c r="BX49" s="741"/>
      <c r="BY49" s="546"/>
      <c r="BZ49" s="741">
        <v>1</v>
      </c>
      <c r="CA49" s="546">
        <v>396</v>
      </c>
      <c r="CB49" s="741">
        <v>1</v>
      </c>
      <c r="CC49" s="546">
        <v>396</v>
      </c>
      <c r="CD49" s="741">
        <v>1</v>
      </c>
      <c r="CE49" s="546">
        <v>396</v>
      </c>
      <c r="CF49" s="741">
        <v>1</v>
      </c>
      <c r="CG49" s="546">
        <v>396</v>
      </c>
      <c r="CH49" s="741">
        <v>1</v>
      </c>
      <c r="CI49" s="546">
        <v>396</v>
      </c>
      <c r="CJ49" s="741">
        <v>1</v>
      </c>
      <c r="CK49" s="546">
        <v>396</v>
      </c>
      <c r="CL49" s="741">
        <v>1</v>
      </c>
      <c r="CM49" s="546">
        <v>396</v>
      </c>
      <c r="CN49" s="741">
        <v>1</v>
      </c>
      <c r="CO49" s="546">
        <v>396</v>
      </c>
      <c r="CP49" s="741">
        <v>1</v>
      </c>
      <c r="CQ49" s="546">
        <v>396</v>
      </c>
      <c r="CR49" s="741">
        <v>1</v>
      </c>
      <c r="CS49" s="546">
        <v>396</v>
      </c>
      <c r="CT49" s="741"/>
      <c r="CU49" s="546"/>
      <c r="CV49" s="741"/>
      <c r="CW49" s="546"/>
      <c r="CX49" s="741"/>
      <c r="CY49" s="546"/>
      <c r="CZ49" s="741"/>
      <c r="DA49" s="546"/>
      <c r="DB49" s="983"/>
      <c r="DC49" s="984"/>
      <c r="DD49" s="985"/>
      <c r="DE49" s="986"/>
      <c r="DF49" s="917"/>
      <c r="DG49" s="980"/>
      <c r="DH49" s="735" t="s">
        <v>372</v>
      </c>
      <c r="DI49" s="981"/>
      <c r="DJ49" s="737"/>
      <c r="DK49" s="738">
        <v>6</v>
      </c>
      <c r="DL49" s="982" t="s">
        <v>373</v>
      </c>
      <c r="DM49" s="740"/>
      <c r="DN49" s="546"/>
      <c r="DO49" s="741"/>
      <c r="DP49" s="546"/>
      <c r="DQ49" s="741"/>
      <c r="DR49" s="546"/>
      <c r="DS49" s="741"/>
      <c r="DT49" s="546"/>
      <c r="DU49" s="741"/>
      <c r="DV49" s="546"/>
      <c r="DW49" s="741"/>
      <c r="DX49" s="546"/>
      <c r="DY49" s="741"/>
      <c r="DZ49" s="546"/>
      <c r="EA49" s="741"/>
      <c r="EB49" s="546"/>
      <c r="EC49" s="741">
        <v>1</v>
      </c>
      <c r="ED49" s="546">
        <v>396</v>
      </c>
      <c r="EE49" s="741">
        <v>1</v>
      </c>
      <c r="EF49" s="546">
        <v>396</v>
      </c>
      <c r="EG49" s="741">
        <v>1</v>
      </c>
      <c r="EH49" s="546">
        <v>396</v>
      </c>
      <c r="EI49" s="741">
        <v>1</v>
      </c>
      <c r="EJ49" s="546">
        <v>396</v>
      </c>
      <c r="EK49" s="741">
        <v>1</v>
      </c>
      <c r="EL49" s="546">
        <v>396</v>
      </c>
      <c r="EM49" s="741">
        <v>1</v>
      </c>
      <c r="EN49" s="546">
        <v>396</v>
      </c>
      <c r="EO49" s="741">
        <v>1</v>
      </c>
      <c r="EP49" s="546">
        <v>396</v>
      </c>
      <c r="EQ49" s="741">
        <v>1</v>
      </c>
      <c r="ER49" s="546">
        <v>396</v>
      </c>
      <c r="ES49" s="741">
        <v>1</v>
      </c>
      <c r="ET49" s="546">
        <v>396</v>
      </c>
      <c r="EU49" s="741">
        <v>1</v>
      </c>
      <c r="EV49" s="546">
        <v>396</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481</v>
      </c>
      <c r="GV50" s="567"/>
      <c r="GW50" s="567"/>
      <c r="GX50" s="567"/>
      <c r="GY50" s="602"/>
      <c r="GZ50" s="566"/>
      <c r="HA50" s="602">
        <v>7.7</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7.7</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396</v>
      </c>
      <c r="Y52" s="1038"/>
      <c r="Z52" s="1037">
        <v>396</v>
      </c>
      <c r="AA52" s="1038"/>
      <c r="AB52" s="1037">
        <v>396</v>
      </c>
      <c r="AC52" s="1038"/>
      <c r="AD52" s="1037">
        <v>396</v>
      </c>
      <c r="AE52" s="1038"/>
      <c r="AF52" s="1037">
        <v>396</v>
      </c>
      <c r="AG52" s="1038"/>
      <c r="AH52" s="1037">
        <v>396</v>
      </c>
      <c r="AI52" s="1038"/>
      <c r="AJ52" s="1037">
        <v>396</v>
      </c>
      <c r="AK52" s="1038"/>
      <c r="AL52" s="1037">
        <v>396</v>
      </c>
      <c r="AM52" s="1038"/>
      <c r="AN52" s="1037">
        <v>396</v>
      </c>
      <c r="AO52" s="1038"/>
      <c r="AP52" s="1037">
        <v>396</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396</v>
      </c>
      <c r="CB52" s="1038"/>
      <c r="CC52" s="1037">
        <v>396</v>
      </c>
      <c r="CD52" s="1038"/>
      <c r="CE52" s="1037">
        <v>396</v>
      </c>
      <c r="CF52" s="1038"/>
      <c r="CG52" s="1037">
        <v>396</v>
      </c>
      <c r="CH52" s="1038"/>
      <c r="CI52" s="1037">
        <v>396</v>
      </c>
      <c r="CJ52" s="1038"/>
      <c r="CK52" s="1037">
        <v>396</v>
      </c>
      <c r="CL52" s="1038"/>
      <c r="CM52" s="1037">
        <v>396</v>
      </c>
      <c r="CN52" s="1038"/>
      <c r="CO52" s="1037">
        <v>396</v>
      </c>
      <c r="CP52" s="1038"/>
      <c r="CQ52" s="1037">
        <v>396</v>
      </c>
      <c r="CR52" s="1038"/>
      <c r="CS52" s="1037">
        <v>396</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396</v>
      </c>
      <c r="EE52" s="1038"/>
      <c r="EF52" s="1037">
        <v>396</v>
      </c>
      <c r="EG52" s="1038"/>
      <c r="EH52" s="1037">
        <v>396</v>
      </c>
      <c r="EI52" s="1038"/>
      <c r="EJ52" s="1037">
        <v>396</v>
      </c>
      <c r="EK52" s="1038"/>
      <c r="EL52" s="1037">
        <v>396</v>
      </c>
      <c r="EM52" s="1038"/>
      <c r="EN52" s="1037">
        <v>396</v>
      </c>
      <c r="EO52" s="1038"/>
      <c r="EP52" s="1037">
        <v>396</v>
      </c>
      <c r="EQ52" s="1038"/>
      <c r="ER52" s="1037">
        <v>396</v>
      </c>
      <c r="ES52" s="1038"/>
      <c r="ET52" s="1037">
        <v>396</v>
      </c>
      <c r="EU52" s="1038"/>
      <c r="EV52" s="1037">
        <v>396</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12</v>
      </c>
      <c r="FW52" s="1048">
        <v>396</v>
      </c>
      <c r="FX52" s="1049">
        <v>11</v>
      </c>
      <c r="FY52" s="1048">
        <v>396</v>
      </c>
      <c r="FZ52" s="1049">
        <v>11</v>
      </c>
      <c r="GA52" s="1048">
        <v>396</v>
      </c>
      <c r="GB52" s="1050" t="s">
        <v>330</v>
      </c>
      <c r="GC52" s="1051">
        <v>396</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4074</v>
      </c>
      <c r="Y53" s="1065"/>
      <c r="Z53" s="1064">
        <v>4079</v>
      </c>
      <c r="AA53" s="1065"/>
      <c r="AB53" s="1064">
        <v>4211</v>
      </c>
      <c r="AC53" s="1065"/>
      <c r="AD53" s="1064">
        <v>4237</v>
      </c>
      <c r="AE53" s="1065"/>
      <c r="AF53" s="1064">
        <v>4164</v>
      </c>
      <c r="AG53" s="1065"/>
      <c r="AH53" s="1064">
        <v>3983</v>
      </c>
      <c r="AI53" s="1065"/>
      <c r="AJ53" s="1064">
        <v>3967</v>
      </c>
      <c r="AK53" s="1065"/>
      <c r="AL53" s="1064">
        <v>3924</v>
      </c>
      <c r="AM53" s="1065"/>
      <c r="AN53" s="1064">
        <v>3824</v>
      </c>
      <c r="AO53" s="1065"/>
      <c r="AP53" s="1064">
        <v>3709</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4083</v>
      </c>
      <c r="CB53" s="1065"/>
      <c r="CC53" s="1064">
        <v>4120</v>
      </c>
      <c r="CD53" s="1065"/>
      <c r="CE53" s="1064">
        <v>4261</v>
      </c>
      <c r="CF53" s="1065"/>
      <c r="CG53" s="1064">
        <v>4259</v>
      </c>
      <c r="CH53" s="1065"/>
      <c r="CI53" s="1064">
        <v>4140</v>
      </c>
      <c r="CJ53" s="1065"/>
      <c r="CK53" s="1064">
        <v>3861</v>
      </c>
      <c r="CL53" s="1065"/>
      <c r="CM53" s="1064">
        <v>3888</v>
      </c>
      <c r="CN53" s="1065"/>
      <c r="CO53" s="1064">
        <v>3876</v>
      </c>
      <c r="CP53" s="1065"/>
      <c r="CQ53" s="1064">
        <v>3853</v>
      </c>
      <c r="CR53" s="1065"/>
      <c r="CS53" s="1064">
        <v>3776</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4473</v>
      </c>
      <c r="EE53" s="1065"/>
      <c r="EF53" s="1064">
        <v>4576</v>
      </c>
      <c r="EG53" s="1065"/>
      <c r="EH53" s="1064">
        <v>4735</v>
      </c>
      <c r="EI53" s="1065"/>
      <c r="EJ53" s="1064">
        <v>4730</v>
      </c>
      <c r="EK53" s="1065"/>
      <c r="EL53" s="1064">
        <v>4557</v>
      </c>
      <c r="EM53" s="1065"/>
      <c r="EN53" s="1064">
        <v>4268</v>
      </c>
      <c r="EO53" s="1065"/>
      <c r="EP53" s="1064">
        <v>3958</v>
      </c>
      <c r="EQ53" s="1065"/>
      <c r="ER53" s="1064">
        <v>3764</v>
      </c>
      <c r="ES53" s="1065"/>
      <c r="ET53" s="1064">
        <v>3680</v>
      </c>
      <c r="EU53" s="1065"/>
      <c r="EV53" s="1064">
        <v>3590</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1818</v>
      </c>
      <c r="FS53" s="1072"/>
      <c r="FT53" s="1071"/>
      <c r="FU53" s="1073">
        <v>1855</v>
      </c>
      <c r="FV53" s="1074">
        <v>12</v>
      </c>
      <c r="FW53" s="1075">
        <v>4237</v>
      </c>
      <c r="FX53" s="1076">
        <v>11</v>
      </c>
      <c r="FY53" s="1075">
        <v>4261</v>
      </c>
      <c r="FZ53" s="1076">
        <v>11</v>
      </c>
      <c r="GA53" s="1075">
        <v>4735</v>
      </c>
      <c r="GB53" s="1077" t="s">
        <v>330</v>
      </c>
      <c r="GC53" s="1075">
        <v>4735</v>
      </c>
      <c r="GD53" s="1077" t="s">
        <v>332</v>
      </c>
      <c r="GE53" s="1078">
        <v>1855</v>
      </c>
      <c r="GF53" s="671"/>
      <c r="GG53" s="969"/>
      <c r="GH53" s="969"/>
      <c r="GI53" s="969"/>
      <c r="GJ53" s="932"/>
      <c r="GK53" s="404"/>
      <c r="GL53" s="1079">
        <v>10</v>
      </c>
      <c r="GM53" s="1080">
        <v>1</v>
      </c>
      <c r="GN53" s="1081">
        <v>0.92</v>
      </c>
      <c r="GO53" s="1082">
        <v>5.0999999999999996</v>
      </c>
      <c r="GP53" s="1082">
        <v>0</v>
      </c>
      <c r="GQ53" s="1083">
        <v>5.0999999999999996</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72.400000000000006</v>
      </c>
      <c r="Y54" s="1092"/>
      <c r="Z54" s="1091">
        <v>72.5</v>
      </c>
      <c r="AA54" s="1092"/>
      <c r="AB54" s="1091">
        <v>74.900000000000006</v>
      </c>
      <c r="AC54" s="1092"/>
      <c r="AD54" s="1091">
        <v>75.3</v>
      </c>
      <c r="AE54" s="1092"/>
      <c r="AF54" s="1091">
        <v>74</v>
      </c>
      <c r="AG54" s="1092"/>
      <c r="AH54" s="1091">
        <v>70.8</v>
      </c>
      <c r="AI54" s="1092"/>
      <c r="AJ54" s="1091">
        <v>70.5</v>
      </c>
      <c r="AK54" s="1092"/>
      <c r="AL54" s="1091">
        <v>69.8</v>
      </c>
      <c r="AM54" s="1092"/>
      <c r="AN54" s="1091">
        <v>68</v>
      </c>
      <c r="AO54" s="1092"/>
      <c r="AP54" s="1091">
        <v>65.900000000000006</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72.599999999999994</v>
      </c>
      <c r="CB54" s="1092"/>
      <c r="CC54" s="1091">
        <v>73.2</v>
      </c>
      <c r="CD54" s="1092"/>
      <c r="CE54" s="1091">
        <v>75.8</v>
      </c>
      <c r="CF54" s="1092"/>
      <c r="CG54" s="1091">
        <v>75.7</v>
      </c>
      <c r="CH54" s="1092"/>
      <c r="CI54" s="1091">
        <v>73.599999999999994</v>
      </c>
      <c r="CJ54" s="1092"/>
      <c r="CK54" s="1091">
        <v>68.599999999999994</v>
      </c>
      <c r="CL54" s="1092"/>
      <c r="CM54" s="1091">
        <v>69.099999999999994</v>
      </c>
      <c r="CN54" s="1092"/>
      <c r="CO54" s="1091">
        <v>68.900000000000006</v>
      </c>
      <c r="CP54" s="1092"/>
      <c r="CQ54" s="1091">
        <v>68.5</v>
      </c>
      <c r="CR54" s="1092"/>
      <c r="CS54" s="1091">
        <v>67.099999999999994</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79.5</v>
      </c>
      <c r="EE54" s="1092"/>
      <c r="EF54" s="1091">
        <v>81.400000000000006</v>
      </c>
      <c r="EG54" s="1092"/>
      <c r="EH54" s="1091">
        <v>84.2</v>
      </c>
      <c r="EI54" s="1092"/>
      <c r="EJ54" s="1091">
        <v>84.1</v>
      </c>
      <c r="EK54" s="1092"/>
      <c r="EL54" s="1091">
        <v>81</v>
      </c>
      <c r="EM54" s="1092"/>
      <c r="EN54" s="1091">
        <v>75.900000000000006</v>
      </c>
      <c r="EO54" s="1092"/>
      <c r="EP54" s="1091">
        <v>70.400000000000006</v>
      </c>
      <c r="EQ54" s="1092"/>
      <c r="ER54" s="1091">
        <v>66.900000000000006</v>
      </c>
      <c r="ES54" s="1092"/>
      <c r="ET54" s="1091">
        <v>65.400000000000006</v>
      </c>
      <c r="EU54" s="1092"/>
      <c r="EV54" s="1091">
        <v>63.8</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32.299999999999997</v>
      </c>
      <c r="FS54" s="1095"/>
      <c r="FT54" s="1092"/>
      <c r="FU54" s="1096">
        <v>33</v>
      </c>
      <c r="FV54" s="1095"/>
      <c r="FW54" s="1091">
        <f>IF(面積=0,0,ROUND(FW53/面積,1))</f>
        <v>75.3</v>
      </c>
      <c r="FX54" s="1095"/>
      <c r="FY54" s="1091">
        <f>IF(面積=0,0,ROUND(FY53/面積,1))</f>
        <v>75.8</v>
      </c>
      <c r="FZ54" s="1095"/>
      <c r="GA54" s="1091">
        <f>IF(面積=0,0,ROUND(GA53/面積,1))</f>
        <v>84.2</v>
      </c>
      <c r="GB54" s="1095"/>
      <c r="GC54" s="1091">
        <f>IF(面積=0,0,ROUND(GC53/面積,1))</f>
        <v>84.2</v>
      </c>
      <c r="GD54" s="1095"/>
      <c r="GE54" s="1093">
        <f>IF(面積=0,0,ROUND(GE53/面積,1))</f>
        <v>33</v>
      </c>
      <c r="GF54" s="671"/>
      <c r="GG54" s="916"/>
      <c r="GH54" s="916"/>
      <c r="GI54" s="916"/>
      <c r="GJ54" s="567"/>
      <c r="GK54" s="566"/>
      <c r="GL54" s="1079">
        <v>11</v>
      </c>
      <c r="GM54" s="1080">
        <v>2</v>
      </c>
      <c r="GN54" s="1081">
        <v>0.85</v>
      </c>
      <c r="GO54" s="1082">
        <v>4.7</v>
      </c>
      <c r="GP54" s="1082">
        <v>0</v>
      </c>
      <c r="GQ54" s="1083">
        <v>4.7</v>
      </c>
      <c r="GR54" s="517"/>
      <c r="GS54" s="567"/>
      <c r="GT54" s="840"/>
      <c r="GU54" s="1097" t="s">
        <v>486</v>
      </c>
      <c r="GV54" s="1097"/>
      <c r="GW54" s="1097"/>
      <c r="GX54" s="1097"/>
      <c r="GY54" s="758"/>
      <c r="GZ54" s="1098"/>
      <c r="HA54" s="1099">
        <v>7.7</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4.3</v>
      </c>
      <c r="GP55" s="1082">
        <v>0</v>
      </c>
      <c r="GQ55" s="1083">
        <v>4.3</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38</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4</v>
      </c>
      <c r="GP56" s="1082">
        <v>0</v>
      </c>
      <c r="GQ56" s="1083">
        <v>4</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3.6</v>
      </c>
      <c r="GP57" s="1082">
        <v>0</v>
      </c>
      <c r="GQ57" s="1083">
        <v>3.6</v>
      </c>
      <c r="GR57" s="932"/>
      <c r="GS57" s="516"/>
      <c r="GT57" s="1243"/>
      <c r="GU57" s="565"/>
      <c r="GV57" s="565"/>
      <c r="GW57" s="487"/>
      <c r="GX57" s="1246"/>
      <c r="GY57" s="566"/>
      <c r="GZ57" s="487"/>
      <c r="HA57" s="565"/>
      <c r="HB57" s="487"/>
      <c r="HC57" s="1031"/>
    </row>
    <row r="58" spans="1:212" ht="20.100000000000001" customHeight="1">
      <c r="A58" s="1141" t="s">
        <v>770</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180</v>
      </c>
      <c r="Y58" s="1147"/>
      <c r="Z58" s="1146">
        <v>180</v>
      </c>
      <c r="AA58" s="1147"/>
      <c r="AB58" s="1146">
        <v>180</v>
      </c>
      <c r="AC58" s="1147"/>
      <c r="AD58" s="1146">
        <v>180</v>
      </c>
      <c r="AE58" s="1147"/>
      <c r="AF58" s="1146">
        <v>180</v>
      </c>
      <c r="AG58" s="1147"/>
      <c r="AH58" s="1146">
        <v>180</v>
      </c>
      <c r="AI58" s="1147"/>
      <c r="AJ58" s="1146">
        <v>180</v>
      </c>
      <c r="AK58" s="1147"/>
      <c r="AL58" s="1146">
        <v>180</v>
      </c>
      <c r="AM58" s="1147"/>
      <c r="AN58" s="1146">
        <v>180</v>
      </c>
      <c r="AO58" s="1147"/>
      <c r="AP58" s="1146">
        <v>180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180</v>
      </c>
      <c r="CB58" s="1147"/>
      <c r="CC58" s="1146">
        <v>180</v>
      </c>
      <c r="CD58" s="1147"/>
      <c r="CE58" s="1146">
        <v>180</v>
      </c>
      <c r="CF58" s="1147"/>
      <c r="CG58" s="1146">
        <v>180</v>
      </c>
      <c r="CH58" s="1147"/>
      <c r="CI58" s="1146">
        <v>180</v>
      </c>
      <c r="CJ58" s="1147"/>
      <c r="CK58" s="1146">
        <v>180</v>
      </c>
      <c r="CL58" s="1147"/>
      <c r="CM58" s="1146">
        <v>180</v>
      </c>
      <c r="CN58" s="1147"/>
      <c r="CO58" s="1146">
        <v>180</v>
      </c>
      <c r="CP58" s="1147"/>
      <c r="CQ58" s="1146">
        <v>180</v>
      </c>
      <c r="CR58" s="1147"/>
      <c r="CS58" s="1146">
        <v>180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180</v>
      </c>
      <c r="EE58" s="1147"/>
      <c r="EF58" s="1146">
        <v>180</v>
      </c>
      <c r="EG58" s="1147"/>
      <c r="EH58" s="1146">
        <v>180</v>
      </c>
      <c r="EI58" s="1147"/>
      <c r="EJ58" s="1146">
        <v>180</v>
      </c>
      <c r="EK58" s="1147"/>
      <c r="EL58" s="1146">
        <v>180</v>
      </c>
      <c r="EM58" s="1147"/>
      <c r="EN58" s="1146">
        <v>180</v>
      </c>
      <c r="EO58" s="1147"/>
      <c r="EP58" s="1146">
        <v>180</v>
      </c>
      <c r="EQ58" s="1147"/>
      <c r="ER58" s="1146">
        <v>180</v>
      </c>
      <c r="ES58" s="1147"/>
      <c r="ET58" s="1146">
        <v>180</v>
      </c>
      <c r="EU58" s="1147"/>
      <c r="EV58" s="1146">
        <v>180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180</v>
      </c>
      <c r="FS58" s="1150"/>
      <c r="FT58" s="1149"/>
      <c r="FU58" s="1151">
        <v>180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3.4</v>
      </c>
      <c r="GP58" s="1082">
        <v>0</v>
      </c>
      <c r="GQ58" s="1083">
        <v>3.4</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t="s">
        <v>773</v>
      </c>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24.3</v>
      </c>
      <c r="X59" s="574">
        <v>1458</v>
      </c>
      <c r="Y59" s="1163">
        <v>25.2</v>
      </c>
      <c r="Z59" s="574">
        <v>1512</v>
      </c>
      <c r="AA59" s="1163">
        <v>25.5</v>
      </c>
      <c r="AB59" s="574">
        <v>1530</v>
      </c>
      <c r="AC59" s="1163">
        <v>26.8</v>
      </c>
      <c r="AD59" s="574">
        <v>1608</v>
      </c>
      <c r="AE59" s="1163">
        <v>26.4</v>
      </c>
      <c r="AF59" s="574">
        <v>1584</v>
      </c>
      <c r="AG59" s="1163">
        <v>25.7</v>
      </c>
      <c r="AH59" s="574">
        <v>1542</v>
      </c>
      <c r="AI59" s="1163">
        <v>25.7</v>
      </c>
      <c r="AJ59" s="574">
        <v>1542</v>
      </c>
      <c r="AK59" s="1163">
        <v>25.4</v>
      </c>
      <c r="AL59" s="574">
        <v>1524</v>
      </c>
      <c r="AM59" s="1163">
        <v>24.7</v>
      </c>
      <c r="AN59" s="574">
        <v>1482</v>
      </c>
      <c r="AO59" s="1163">
        <v>24</v>
      </c>
      <c r="AP59" s="574">
        <v>1440</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t="s">
        <v>773</v>
      </c>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19.2</v>
      </c>
      <c r="CA59" s="574">
        <v>1152</v>
      </c>
      <c r="CB59" s="1163">
        <v>20</v>
      </c>
      <c r="CC59" s="574">
        <v>1200</v>
      </c>
      <c r="CD59" s="1163">
        <v>20.9</v>
      </c>
      <c r="CE59" s="574">
        <v>1254</v>
      </c>
      <c r="CF59" s="1163">
        <v>21.6</v>
      </c>
      <c r="CG59" s="574">
        <v>1296</v>
      </c>
      <c r="CH59" s="1163">
        <v>22</v>
      </c>
      <c r="CI59" s="574">
        <v>1320</v>
      </c>
      <c r="CJ59" s="1163">
        <v>21.3</v>
      </c>
      <c r="CK59" s="574">
        <v>1278</v>
      </c>
      <c r="CL59" s="1163">
        <v>21.1</v>
      </c>
      <c r="CM59" s="574">
        <v>1266</v>
      </c>
      <c r="CN59" s="1163">
        <v>20.9</v>
      </c>
      <c r="CO59" s="574">
        <v>1254</v>
      </c>
      <c r="CP59" s="1163">
        <v>20.9</v>
      </c>
      <c r="CQ59" s="574">
        <v>1254</v>
      </c>
      <c r="CR59" s="1163">
        <v>20.2</v>
      </c>
      <c r="CS59" s="574">
        <v>1212</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t="s">
        <v>773</v>
      </c>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10.4</v>
      </c>
      <c r="ED59" s="574">
        <v>624</v>
      </c>
      <c r="EE59" s="1163">
        <v>11.5</v>
      </c>
      <c r="EF59" s="574">
        <v>690</v>
      </c>
      <c r="EG59" s="1163">
        <v>11.6</v>
      </c>
      <c r="EH59" s="574">
        <v>696</v>
      </c>
      <c r="EI59" s="1163">
        <v>12</v>
      </c>
      <c r="EJ59" s="574">
        <v>720</v>
      </c>
      <c r="EK59" s="1163">
        <v>11.7</v>
      </c>
      <c r="EL59" s="574">
        <v>702</v>
      </c>
      <c r="EM59" s="1163">
        <v>11.2</v>
      </c>
      <c r="EN59" s="574">
        <v>672</v>
      </c>
      <c r="EO59" s="1163">
        <v>11</v>
      </c>
      <c r="EP59" s="574">
        <v>660</v>
      </c>
      <c r="EQ59" s="1163">
        <v>11.1</v>
      </c>
      <c r="ER59" s="574">
        <v>666</v>
      </c>
      <c r="ES59" s="1163">
        <v>10.6</v>
      </c>
      <c r="ET59" s="574">
        <v>636</v>
      </c>
      <c r="EU59" s="1163">
        <v>11.1</v>
      </c>
      <c r="EV59" s="574">
        <v>666</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t="s">
        <v>773</v>
      </c>
      <c r="FN59" s="1161"/>
      <c r="FO59" s="1000"/>
      <c r="FP59" s="612">
        <v>9</v>
      </c>
      <c r="FQ59" s="1164">
        <v>26.2</v>
      </c>
      <c r="FR59" s="1165">
        <v>1572</v>
      </c>
      <c r="FS59" s="1166">
        <v>9</v>
      </c>
      <c r="FT59" s="1164">
        <v>22.5</v>
      </c>
      <c r="FU59" s="1167">
        <v>1350</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3.1</v>
      </c>
      <c r="GP59" s="1082">
        <v>0</v>
      </c>
      <c r="GQ59" s="1083">
        <v>3.1</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2.8</v>
      </c>
      <c r="GP60" s="1082">
        <v>0</v>
      </c>
      <c r="GQ60" s="1083">
        <v>2.8</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5532</v>
      </c>
      <c r="Y61" s="1184"/>
      <c r="Z61" s="1185">
        <v>5591</v>
      </c>
      <c r="AA61" s="1184"/>
      <c r="AB61" s="1185">
        <v>5741</v>
      </c>
      <c r="AC61" s="1184"/>
      <c r="AD61" s="1185">
        <v>5845</v>
      </c>
      <c r="AE61" s="1184"/>
      <c r="AF61" s="1185">
        <v>5748</v>
      </c>
      <c r="AG61" s="1184"/>
      <c r="AH61" s="1185">
        <v>5525</v>
      </c>
      <c r="AI61" s="1184"/>
      <c r="AJ61" s="1185">
        <v>5509</v>
      </c>
      <c r="AK61" s="1184"/>
      <c r="AL61" s="1185">
        <v>5448</v>
      </c>
      <c r="AM61" s="1184"/>
      <c r="AN61" s="1185">
        <v>5306</v>
      </c>
      <c r="AO61" s="1184"/>
      <c r="AP61" s="1185">
        <v>5149</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5235</v>
      </c>
      <c r="CB61" s="1184"/>
      <c r="CC61" s="1185">
        <v>5320</v>
      </c>
      <c r="CD61" s="1184"/>
      <c r="CE61" s="1185">
        <v>5515</v>
      </c>
      <c r="CF61" s="1184"/>
      <c r="CG61" s="1185">
        <v>5555</v>
      </c>
      <c r="CH61" s="1184"/>
      <c r="CI61" s="1185">
        <v>5460</v>
      </c>
      <c r="CJ61" s="1184"/>
      <c r="CK61" s="1185">
        <v>5139</v>
      </c>
      <c r="CL61" s="1184"/>
      <c r="CM61" s="1185">
        <v>5154</v>
      </c>
      <c r="CN61" s="1184"/>
      <c r="CO61" s="1185">
        <v>5130</v>
      </c>
      <c r="CP61" s="1184"/>
      <c r="CQ61" s="1185">
        <v>5107</v>
      </c>
      <c r="CR61" s="1184"/>
      <c r="CS61" s="1185">
        <v>4988</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5097</v>
      </c>
      <c r="EE61" s="1184"/>
      <c r="EF61" s="1185">
        <v>5266</v>
      </c>
      <c r="EG61" s="1184"/>
      <c r="EH61" s="1185">
        <v>5431</v>
      </c>
      <c r="EI61" s="1184"/>
      <c r="EJ61" s="1185">
        <v>5450</v>
      </c>
      <c r="EK61" s="1184"/>
      <c r="EL61" s="1185">
        <v>5259</v>
      </c>
      <c r="EM61" s="1184"/>
      <c r="EN61" s="1185">
        <v>4940</v>
      </c>
      <c r="EO61" s="1184"/>
      <c r="EP61" s="1185">
        <v>4618</v>
      </c>
      <c r="EQ61" s="1184"/>
      <c r="ER61" s="1185">
        <v>4430</v>
      </c>
      <c r="ES61" s="1184"/>
      <c r="ET61" s="1185">
        <v>4316</v>
      </c>
      <c r="EU61" s="1184"/>
      <c r="EV61" s="1185">
        <v>4256</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3390</v>
      </c>
      <c r="FS61" s="1190"/>
      <c r="FT61" s="1188"/>
      <c r="FU61" s="1191">
        <v>3205</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2.6</v>
      </c>
      <c r="GP61" s="1082">
        <v>0</v>
      </c>
      <c r="GQ61" s="1083">
        <v>2.6</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319</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t="s">
        <v>777</v>
      </c>
      <c r="FN66" s="1221"/>
      <c r="FO66" s="1181"/>
      <c r="FP66" s="1187">
        <v>9</v>
      </c>
      <c r="FQ66" s="1222">
        <v>4.0999999999999996</v>
      </c>
      <c r="FR66" s="1223">
        <v>0.9</v>
      </c>
      <c r="FS66" s="1190">
        <v>9</v>
      </c>
      <c r="FT66" s="1222">
        <v>2.4</v>
      </c>
      <c r="FU66" s="1224">
        <v>0.5</v>
      </c>
      <c r="FV66" s="1225"/>
      <c r="FW66" s="1226"/>
      <c r="FX66" s="1226"/>
      <c r="FY66" s="1226"/>
      <c r="FZ66" s="1226"/>
      <c r="GA66" s="1226"/>
      <c r="GB66" s="1226"/>
      <c r="GC66" s="1227"/>
      <c r="GD66" s="1190"/>
      <c r="GE66" s="1228">
        <v>0.9</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t="s">
        <v>327</v>
      </c>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t="str">
        <f>$G68</f>
        <v>(C)室内全熱負荷以降の外気負荷等は、熱源容量計算用の基準別、時刻別の値です。外気負荷を含めた空調機の容量の計算等は別紙「ACU-2系統 空調機容量の計算」をご参照ください。</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t="str">
        <f>$G68</f>
        <v>(C)室内全熱負荷以降の外気負荷等は、熱源容量計算用の基準別、時刻別の値です。外気負荷を含めた空調機の容量の計算等は別紙「ACU-2系統 空調機容量の計算」をご参照ください。</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510</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341</v>
      </c>
      <c r="B3" s="385">
        <v>202</v>
      </c>
      <c r="C3" s="386" t="s">
        <v>513</v>
      </c>
      <c r="D3" s="387" t="s">
        <v>514</v>
      </c>
      <c r="E3" s="387"/>
      <c r="F3" s="387"/>
      <c r="G3" s="387"/>
      <c r="H3" s="387"/>
      <c r="I3" s="387"/>
      <c r="J3" s="388"/>
      <c r="K3" s="389" t="s">
        <v>338</v>
      </c>
      <c r="L3" s="390"/>
      <c r="M3" s="389" t="s">
        <v>339</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202</v>
      </c>
      <c r="BF3" s="386" t="s">
        <v>335</v>
      </c>
      <c r="BG3" s="398" t="s">
        <v>509</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202</v>
      </c>
      <c r="DI3" s="386" t="s">
        <v>335</v>
      </c>
      <c r="DJ3" s="398" t="s">
        <v>509</v>
      </c>
      <c r="DK3" s="398"/>
      <c r="DL3" s="398"/>
      <c r="DM3" s="398"/>
      <c r="DN3" s="398"/>
      <c r="DO3" s="398"/>
      <c r="DP3" s="399"/>
      <c r="DQ3" s="389" t="s">
        <v>338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202</v>
      </c>
      <c r="FL3" s="386" t="s">
        <v>335</v>
      </c>
      <c r="FM3" s="398" t="s">
        <v>509</v>
      </c>
      <c r="FN3" s="398"/>
      <c r="FO3" s="398"/>
      <c r="FP3" s="398"/>
      <c r="FQ3" s="398"/>
      <c r="FR3" s="398"/>
      <c r="FS3" s="399"/>
      <c r="FT3" s="389" t="s">
        <v>338</v>
      </c>
      <c r="FU3" s="390"/>
      <c r="FV3" s="389" t="s">
        <v>339</v>
      </c>
      <c r="FW3" s="390"/>
      <c r="FX3" s="391" t="s">
        <v>769</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196.5</v>
      </c>
      <c r="E5" s="433" t="s">
        <v>350</v>
      </c>
      <c r="F5" s="434">
        <v>2.7</v>
      </c>
      <c r="G5" s="435" t="s">
        <v>351</v>
      </c>
      <c r="H5" s="436"/>
      <c r="I5" s="437">
        <v>530.6</v>
      </c>
      <c r="J5" s="438"/>
      <c r="K5" s="439">
        <v>870</v>
      </c>
      <c r="L5" s="440"/>
      <c r="M5" s="439">
        <v>160</v>
      </c>
      <c r="N5" s="440"/>
      <c r="O5" s="1470" t="s">
        <v>778</v>
      </c>
      <c r="P5" s="441"/>
      <c r="Q5" s="1471" t="s">
        <v>779</v>
      </c>
      <c r="R5" s="442"/>
      <c r="S5" s="1472" t="s">
        <v>780</v>
      </c>
      <c r="T5" s="443"/>
      <c r="U5" s="1473" t="s">
        <v>781</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196.5</v>
      </c>
      <c r="BH5" s="433" t="s">
        <v>350</v>
      </c>
      <c r="BI5" s="434">
        <v>2.7</v>
      </c>
      <c r="BJ5" s="435" t="s">
        <v>351</v>
      </c>
      <c r="BK5" s="436"/>
      <c r="BL5" s="437">
        <v>530.6</v>
      </c>
      <c r="BM5" s="438"/>
      <c r="BN5" s="439">
        <v>870</v>
      </c>
      <c r="BO5" s="440"/>
      <c r="BP5" s="439">
        <v>160</v>
      </c>
      <c r="BQ5" s="440"/>
      <c r="BR5" s="1470" t="s">
        <v>762</v>
      </c>
      <c r="BS5" s="441"/>
      <c r="BT5" s="1471" t="s">
        <v>779</v>
      </c>
      <c r="BU5" s="442"/>
      <c r="BV5" s="1472" t="s">
        <v>780</v>
      </c>
      <c r="BW5" s="443"/>
      <c r="BX5" s="1473" t="s">
        <v>781</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196.5</v>
      </c>
      <c r="DK5" s="433" t="s">
        <v>350</v>
      </c>
      <c r="DL5" s="434">
        <v>2.7</v>
      </c>
      <c r="DM5" s="435" t="s">
        <v>351</v>
      </c>
      <c r="DN5" s="436"/>
      <c r="DO5" s="437">
        <v>530.6</v>
      </c>
      <c r="DP5" s="438"/>
      <c r="DQ5" s="439">
        <v>870</v>
      </c>
      <c r="DR5" s="440"/>
      <c r="DS5" s="439">
        <v>160</v>
      </c>
      <c r="DT5" s="440"/>
      <c r="DU5" s="1470" t="s">
        <v>762</v>
      </c>
      <c r="DV5" s="441"/>
      <c r="DW5" s="1471" t="s">
        <v>779</v>
      </c>
      <c r="DX5" s="442"/>
      <c r="DY5" s="1472" t="s">
        <v>780</v>
      </c>
      <c r="DZ5" s="443"/>
      <c r="EA5" s="1473" t="s">
        <v>781</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196.5</v>
      </c>
      <c r="FN5" s="433" t="s">
        <v>350</v>
      </c>
      <c r="FO5" s="434">
        <v>2.7</v>
      </c>
      <c r="FP5" s="435" t="s">
        <v>351</v>
      </c>
      <c r="FQ5" s="436"/>
      <c r="FR5" s="437">
        <v>530.6</v>
      </c>
      <c r="FS5" s="438"/>
      <c r="FT5" s="439">
        <v>870</v>
      </c>
      <c r="FU5" s="440"/>
      <c r="FV5" s="439">
        <v>160</v>
      </c>
      <c r="FW5" s="440"/>
      <c r="FX5" s="1470" t="s">
        <v>782</v>
      </c>
      <c r="FY5" s="441"/>
      <c r="FZ5" s="1471" t="s">
        <v>783</v>
      </c>
      <c r="GA5" s="442"/>
      <c r="GB5" s="1472" t="s">
        <v>784</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490</v>
      </c>
      <c r="E9" s="522" t="s">
        <v>491</v>
      </c>
      <c r="F9" s="523" t="s">
        <v>265</v>
      </c>
      <c r="G9" s="524" t="s">
        <v>492</v>
      </c>
      <c r="H9" s="525" t="s">
        <v>493</v>
      </c>
      <c r="I9" s="526" t="s">
        <v>268</v>
      </c>
      <c r="J9" s="525" t="s">
        <v>493</v>
      </c>
      <c r="K9" s="526" t="s">
        <v>268</v>
      </c>
      <c r="L9" s="525" t="s">
        <v>493</v>
      </c>
      <c r="M9" s="526" t="s">
        <v>268</v>
      </c>
      <c r="N9" s="525" t="s">
        <v>493</v>
      </c>
      <c r="O9" s="526" t="s">
        <v>268</v>
      </c>
      <c r="P9" s="525" t="s">
        <v>493</v>
      </c>
      <c r="Q9" s="526" t="s">
        <v>268</v>
      </c>
      <c r="R9" s="525" t="s">
        <v>493</v>
      </c>
      <c r="S9" s="526" t="s">
        <v>268</v>
      </c>
      <c r="T9" s="525" t="s">
        <v>493</v>
      </c>
      <c r="U9" s="526" t="s">
        <v>268</v>
      </c>
      <c r="V9" s="525" t="s">
        <v>493</v>
      </c>
      <c r="W9" s="526" t="s">
        <v>268</v>
      </c>
      <c r="X9" s="525" t="s">
        <v>493</v>
      </c>
      <c r="Y9" s="526" t="s">
        <v>268</v>
      </c>
      <c r="Z9" s="525" t="s">
        <v>493</v>
      </c>
      <c r="AA9" s="526" t="s">
        <v>268</v>
      </c>
      <c r="AB9" s="525" t="s">
        <v>493</v>
      </c>
      <c r="AC9" s="526" t="s">
        <v>268</v>
      </c>
      <c r="AD9" s="525" t="s">
        <v>493</v>
      </c>
      <c r="AE9" s="526" t="s">
        <v>268</v>
      </c>
      <c r="AF9" s="525" t="s">
        <v>493</v>
      </c>
      <c r="AG9" s="526" t="s">
        <v>268</v>
      </c>
      <c r="AH9" s="525" t="s">
        <v>493</v>
      </c>
      <c r="AI9" s="526" t="s">
        <v>268</v>
      </c>
      <c r="AJ9" s="525" t="s">
        <v>493</v>
      </c>
      <c r="AK9" s="526" t="s">
        <v>268</v>
      </c>
      <c r="AL9" s="525" t="s">
        <v>493</v>
      </c>
      <c r="AM9" s="526" t="s">
        <v>268</v>
      </c>
      <c r="AN9" s="525" t="s">
        <v>493</v>
      </c>
      <c r="AO9" s="526" t="s">
        <v>268</v>
      </c>
      <c r="AP9" s="525" t="s">
        <v>493</v>
      </c>
      <c r="AQ9" s="526" t="s">
        <v>268</v>
      </c>
      <c r="AR9" s="525" t="s">
        <v>493</v>
      </c>
      <c r="AS9" s="526" t="s">
        <v>268</v>
      </c>
      <c r="AT9" s="525" t="s">
        <v>493</v>
      </c>
      <c r="AU9" s="526" t="s">
        <v>268</v>
      </c>
      <c r="AV9" s="525" t="s">
        <v>493</v>
      </c>
      <c r="AW9" s="526" t="s">
        <v>268</v>
      </c>
      <c r="AX9" s="525" t="s">
        <v>493</v>
      </c>
      <c r="AY9" s="526" t="s">
        <v>268</v>
      </c>
      <c r="AZ9" s="525" t="s">
        <v>493</v>
      </c>
      <c r="BA9" s="526" t="s">
        <v>268</v>
      </c>
      <c r="BB9" s="527" t="s">
        <v>271</v>
      </c>
      <c r="BC9" s="490"/>
      <c r="BD9" s="519" t="s">
        <v>260</v>
      </c>
      <c r="BE9" s="520" t="s">
        <v>261</v>
      </c>
      <c r="BF9" s="521" t="s">
        <v>262</v>
      </c>
      <c r="BG9" s="521" t="s">
        <v>490</v>
      </c>
      <c r="BH9" s="522" t="s">
        <v>491</v>
      </c>
      <c r="BI9" s="523" t="s">
        <v>265</v>
      </c>
      <c r="BJ9" s="524" t="s">
        <v>492</v>
      </c>
      <c r="BK9" s="525" t="s">
        <v>493</v>
      </c>
      <c r="BL9" s="526" t="s">
        <v>268</v>
      </c>
      <c r="BM9" s="525" t="s">
        <v>493</v>
      </c>
      <c r="BN9" s="526" t="s">
        <v>268</v>
      </c>
      <c r="BO9" s="525" t="s">
        <v>493</v>
      </c>
      <c r="BP9" s="526" t="s">
        <v>268</v>
      </c>
      <c r="BQ9" s="525" t="s">
        <v>493</v>
      </c>
      <c r="BR9" s="526" t="s">
        <v>268</v>
      </c>
      <c r="BS9" s="525" t="s">
        <v>493</v>
      </c>
      <c r="BT9" s="526" t="s">
        <v>268</v>
      </c>
      <c r="BU9" s="525" t="s">
        <v>493</v>
      </c>
      <c r="BV9" s="526" t="s">
        <v>268</v>
      </c>
      <c r="BW9" s="525" t="s">
        <v>493</v>
      </c>
      <c r="BX9" s="526" t="s">
        <v>268</v>
      </c>
      <c r="BY9" s="525" t="s">
        <v>493</v>
      </c>
      <c r="BZ9" s="526" t="s">
        <v>268</v>
      </c>
      <c r="CA9" s="525" t="s">
        <v>493</v>
      </c>
      <c r="CB9" s="526" t="s">
        <v>268</v>
      </c>
      <c r="CC9" s="525" t="s">
        <v>493</v>
      </c>
      <c r="CD9" s="526" t="s">
        <v>268</v>
      </c>
      <c r="CE9" s="525" t="s">
        <v>493</v>
      </c>
      <c r="CF9" s="526" t="s">
        <v>268</v>
      </c>
      <c r="CG9" s="525" t="s">
        <v>493</v>
      </c>
      <c r="CH9" s="526" t="s">
        <v>268</v>
      </c>
      <c r="CI9" s="525" t="s">
        <v>493</v>
      </c>
      <c r="CJ9" s="526" t="s">
        <v>268</v>
      </c>
      <c r="CK9" s="525" t="s">
        <v>493</v>
      </c>
      <c r="CL9" s="526" t="s">
        <v>268</v>
      </c>
      <c r="CM9" s="525" t="s">
        <v>493</v>
      </c>
      <c r="CN9" s="526" t="s">
        <v>268</v>
      </c>
      <c r="CO9" s="525" t="s">
        <v>493</v>
      </c>
      <c r="CP9" s="526" t="s">
        <v>268</v>
      </c>
      <c r="CQ9" s="525" t="s">
        <v>493</v>
      </c>
      <c r="CR9" s="526" t="s">
        <v>268</v>
      </c>
      <c r="CS9" s="525" t="s">
        <v>493</v>
      </c>
      <c r="CT9" s="526" t="s">
        <v>268</v>
      </c>
      <c r="CU9" s="525" t="s">
        <v>493</v>
      </c>
      <c r="CV9" s="526" t="s">
        <v>268</v>
      </c>
      <c r="CW9" s="525" t="s">
        <v>493</v>
      </c>
      <c r="CX9" s="526" t="s">
        <v>268</v>
      </c>
      <c r="CY9" s="525" t="s">
        <v>493</v>
      </c>
      <c r="CZ9" s="526" t="s">
        <v>268</v>
      </c>
      <c r="DA9" s="525" t="s">
        <v>493</v>
      </c>
      <c r="DB9" s="526" t="s">
        <v>268</v>
      </c>
      <c r="DC9" s="525" t="s">
        <v>493</v>
      </c>
      <c r="DD9" s="526" t="s">
        <v>268</v>
      </c>
      <c r="DE9" s="527" t="s">
        <v>271</v>
      </c>
      <c r="DF9" s="490"/>
      <c r="DG9" s="519" t="s">
        <v>260</v>
      </c>
      <c r="DH9" s="520" t="s">
        <v>261</v>
      </c>
      <c r="DI9" s="521" t="s">
        <v>262</v>
      </c>
      <c r="DJ9" s="521" t="s">
        <v>490</v>
      </c>
      <c r="DK9" s="522" t="s">
        <v>491</v>
      </c>
      <c r="DL9" s="523" t="s">
        <v>265</v>
      </c>
      <c r="DM9" s="524" t="s">
        <v>492</v>
      </c>
      <c r="DN9" s="525" t="s">
        <v>493</v>
      </c>
      <c r="DO9" s="526" t="s">
        <v>268</v>
      </c>
      <c r="DP9" s="525" t="s">
        <v>493</v>
      </c>
      <c r="DQ9" s="526" t="s">
        <v>268</v>
      </c>
      <c r="DR9" s="525" t="s">
        <v>493</v>
      </c>
      <c r="DS9" s="526" t="s">
        <v>268</v>
      </c>
      <c r="DT9" s="525" t="s">
        <v>493</v>
      </c>
      <c r="DU9" s="526" t="s">
        <v>268</v>
      </c>
      <c r="DV9" s="525" t="s">
        <v>493</v>
      </c>
      <c r="DW9" s="526" t="s">
        <v>268</v>
      </c>
      <c r="DX9" s="525" t="s">
        <v>493</v>
      </c>
      <c r="DY9" s="526" t="s">
        <v>268</v>
      </c>
      <c r="DZ9" s="525" t="s">
        <v>493</v>
      </c>
      <c r="EA9" s="526" t="s">
        <v>268</v>
      </c>
      <c r="EB9" s="525" t="s">
        <v>493</v>
      </c>
      <c r="EC9" s="526" t="s">
        <v>268</v>
      </c>
      <c r="ED9" s="525" t="s">
        <v>493</v>
      </c>
      <c r="EE9" s="526" t="s">
        <v>268</v>
      </c>
      <c r="EF9" s="525" t="s">
        <v>493</v>
      </c>
      <c r="EG9" s="526" t="s">
        <v>268</v>
      </c>
      <c r="EH9" s="525" t="s">
        <v>493</v>
      </c>
      <c r="EI9" s="526" t="s">
        <v>268</v>
      </c>
      <c r="EJ9" s="525" t="s">
        <v>493</v>
      </c>
      <c r="EK9" s="526" t="s">
        <v>268</v>
      </c>
      <c r="EL9" s="525" t="s">
        <v>493</v>
      </c>
      <c r="EM9" s="526" t="s">
        <v>268</v>
      </c>
      <c r="EN9" s="525" t="s">
        <v>493</v>
      </c>
      <c r="EO9" s="526" t="s">
        <v>268</v>
      </c>
      <c r="EP9" s="525" t="s">
        <v>493</v>
      </c>
      <c r="EQ9" s="526" t="s">
        <v>268</v>
      </c>
      <c r="ER9" s="525" t="s">
        <v>493</v>
      </c>
      <c r="ES9" s="526" t="s">
        <v>268</v>
      </c>
      <c r="ET9" s="525" t="s">
        <v>493</v>
      </c>
      <c r="EU9" s="526" t="s">
        <v>268</v>
      </c>
      <c r="EV9" s="525" t="s">
        <v>493</v>
      </c>
      <c r="EW9" s="526" t="s">
        <v>268</v>
      </c>
      <c r="EX9" s="525" t="s">
        <v>493</v>
      </c>
      <c r="EY9" s="526" t="s">
        <v>268</v>
      </c>
      <c r="EZ9" s="525" t="s">
        <v>493</v>
      </c>
      <c r="FA9" s="526" t="s">
        <v>268</v>
      </c>
      <c r="FB9" s="525" t="s">
        <v>493</v>
      </c>
      <c r="FC9" s="526" t="s">
        <v>268</v>
      </c>
      <c r="FD9" s="525" t="s">
        <v>493</v>
      </c>
      <c r="FE9" s="526" t="s">
        <v>268</v>
      </c>
      <c r="FF9" s="525" t="s">
        <v>493</v>
      </c>
      <c r="FG9" s="526" t="s">
        <v>268</v>
      </c>
      <c r="FH9" s="527" t="s">
        <v>271</v>
      </c>
      <c r="FI9" s="528"/>
      <c r="FJ9" s="529" t="s">
        <v>260</v>
      </c>
      <c r="FK9" s="520" t="s">
        <v>261</v>
      </c>
      <c r="FL9" s="521" t="s">
        <v>262</v>
      </c>
      <c r="FM9" s="521" t="s">
        <v>490</v>
      </c>
      <c r="FN9" s="522" t="s">
        <v>491</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77</v>
      </c>
      <c r="D10" s="542">
        <f>ROUND(40.43*0.85,2)</f>
        <v>34.369999999999997</v>
      </c>
      <c r="E10" s="540" t="s">
        <v>326</v>
      </c>
      <c r="F10" s="541" t="s">
        <v>197</v>
      </c>
      <c r="G10" s="543">
        <v>0</v>
      </c>
      <c r="H10" s="544">
        <f>ROUND(ROUND(40.43*0.85,2)*0.34*0,0)</f>
        <v>0</v>
      </c>
      <c r="I10" s="545">
        <v>0</v>
      </c>
      <c r="J10" s="546">
        <f>ROUND(ROUND(40.43*0.85,2)*0.34*0,0)</f>
        <v>0</v>
      </c>
      <c r="K10" s="547">
        <v>0</v>
      </c>
      <c r="L10" s="546">
        <f>ROUND(ROUND(40.43*0.85,2)*0.34*0,0)</f>
        <v>0</v>
      </c>
      <c r="M10" s="547">
        <v>0</v>
      </c>
      <c r="N10" s="546">
        <f>ROUND(ROUND(40.43*0.85,2)*0.34*0,0)</f>
        <v>0</v>
      </c>
      <c r="O10" s="547">
        <v>0</v>
      </c>
      <c r="P10" s="546">
        <f>ROUND(ROUND(40.43*0.85,2)*0.34*0,0)</f>
        <v>0</v>
      </c>
      <c r="Q10" s="547">
        <v>0</v>
      </c>
      <c r="R10" s="546">
        <f>ROUND(ROUND(40.43*0.85,2)*0.34*0,0)</f>
        <v>0</v>
      </c>
      <c r="S10" s="547">
        <v>0</v>
      </c>
      <c r="T10" s="546">
        <f>ROUND(ROUND(40.43*0.85,2)*0.34*0,0)</f>
        <v>0</v>
      </c>
      <c r="U10" s="547">
        <v>0</v>
      </c>
      <c r="V10" s="546">
        <f>ROUND(ROUND(40.43*0.85,2)*0.34*0,0)</f>
        <v>0</v>
      </c>
      <c r="W10" s="547">
        <v>130</v>
      </c>
      <c r="X10" s="546">
        <f>ROUND(ROUND(40.43*0.85,2)*0.34*130,0)</f>
        <v>1519</v>
      </c>
      <c r="Y10" s="547">
        <v>170</v>
      </c>
      <c r="Z10" s="546">
        <f>ROUND(ROUND(40.43*0.85,2)*0.34*170,0)</f>
        <v>1987</v>
      </c>
      <c r="AA10" s="547">
        <v>193</v>
      </c>
      <c r="AB10" s="546">
        <f>ROUND(ROUND(40.43*0.85,2)*0.34*193,0)</f>
        <v>2255</v>
      </c>
      <c r="AC10" s="547">
        <v>188</v>
      </c>
      <c r="AD10" s="546">
        <f>ROUND(ROUND(40.43*0.85,2)*0.34*188,0)</f>
        <v>2197</v>
      </c>
      <c r="AE10" s="547">
        <v>153</v>
      </c>
      <c r="AF10" s="546">
        <f>ROUND(ROUND(40.43*0.85,2)*0.34*153,0)</f>
        <v>1788</v>
      </c>
      <c r="AG10" s="547">
        <v>90</v>
      </c>
      <c r="AH10" s="546">
        <f>ROUND(ROUND(40.43*0.85,2)*0.34*90,0)</f>
        <v>1052</v>
      </c>
      <c r="AI10" s="547">
        <v>80</v>
      </c>
      <c r="AJ10" s="546">
        <f>ROUND(ROUND(40.43*0.85,2)*0.34*80,0)</f>
        <v>935</v>
      </c>
      <c r="AK10" s="547">
        <v>63</v>
      </c>
      <c r="AL10" s="546">
        <f>ROUND(ROUND(40.43*0.85,2)*0.34*63,0)</f>
        <v>736</v>
      </c>
      <c r="AM10" s="547">
        <v>39</v>
      </c>
      <c r="AN10" s="546">
        <f>ROUND(ROUND(40.43*0.85,2)*0.34*39,0)</f>
        <v>456</v>
      </c>
      <c r="AO10" s="547">
        <v>12</v>
      </c>
      <c r="AP10" s="546">
        <f>ROUND(ROUND(40.43*0.85,2)*0.34*12,0)</f>
        <v>140</v>
      </c>
      <c r="AQ10" s="547">
        <v>0</v>
      </c>
      <c r="AR10" s="546">
        <f>ROUND(ROUND(40.43*0.85,2)*0.34*0,0)</f>
        <v>0</v>
      </c>
      <c r="AS10" s="547">
        <v>0</v>
      </c>
      <c r="AT10" s="546">
        <f>ROUND(ROUND(40.43*0.85,2)*0.34*0,0)</f>
        <v>0</v>
      </c>
      <c r="AU10" s="547">
        <v>0</v>
      </c>
      <c r="AV10" s="546">
        <f>ROUND(ROUND(40.43*0.85,2)*0.34*0,0)</f>
        <v>0</v>
      </c>
      <c r="AW10" s="547">
        <v>0</v>
      </c>
      <c r="AX10" s="546">
        <f>ROUND(ROUND(40.43*0.85,2)*0.34*0,0)</f>
        <v>0</v>
      </c>
      <c r="AY10" s="547">
        <v>0</v>
      </c>
      <c r="AZ10" s="546">
        <f>ROUND(ROUND(40.43*0.85,2)*0.34*0,0)</f>
        <v>0</v>
      </c>
      <c r="BA10" s="547">
        <v>0</v>
      </c>
      <c r="BB10" s="548">
        <f>ROUND(ROUND(40.43*0.85,2)*0.34*0,0)</f>
        <v>0</v>
      </c>
      <c r="BC10" s="549"/>
      <c r="BD10" s="539"/>
      <c r="BE10" s="540"/>
      <c r="BF10" s="541"/>
      <c r="BG10" s="542"/>
      <c r="BH10" s="540"/>
      <c r="BI10" s="541"/>
      <c r="BJ10" s="543">
        <v>0</v>
      </c>
      <c r="BK10" s="544">
        <f>ROUND(ROUND(40.43*0.85,2)*0.34*0,0)</f>
        <v>0</v>
      </c>
      <c r="BL10" s="545">
        <v>0</v>
      </c>
      <c r="BM10" s="546">
        <f>ROUND(ROUND(40.43*0.85,2)*0.34*0,0)</f>
        <v>0</v>
      </c>
      <c r="BN10" s="547">
        <v>0</v>
      </c>
      <c r="BO10" s="546">
        <f>ROUND(ROUND(40.43*0.85,2)*0.34*0,0)</f>
        <v>0</v>
      </c>
      <c r="BP10" s="547">
        <v>0</v>
      </c>
      <c r="BQ10" s="546">
        <f>ROUND(ROUND(40.43*0.85,2)*0.34*0,0)</f>
        <v>0</v>
      </c>
      <c r="BR10" s="547">
        <v>0</v>
      </c>
      <c r="BS10" s="546">
        <f>ROUND(ROUND(40.43*0.85,2)*0.34*0,0)</f>
        <v>0</v>
      </c>
      <c r="BT10" s="547">
        <v>0</v>
      </c>
      <c r="BU10" s="546">
        <f>ROUND(ROUND(40.43*0.85,2)*0.34*0,0)</f>
        <v>0</v>
      </c>
      <c r="BV10" s="547">
        <v>0</v>
      </c>
      <c r="BW10" s="546">
        <f>ROUND(ROUND(40.43*0.85,2)*0.34*0,0)</f>
        <v>0</v>
      </c>
      <c r="BX10" s="547">
        <v>0</v>
      </c>
      <c r="BY10" s="546">
        <f>ROUND(ROUND(40.43*0.85,2)*0.34*0,0)</f>
        <v>0</v>
      </c>
      <c r="BZ10" s="547">
        <v>141</v>
      </c>
      <c r="CA10" s="546">
        <f>ROUND(ROUND(40.43*0.85,2)*0.34*141,0)</f>
        <v>1648</v>
      </c>
      <c r="CB10" s="547">
        <v>192</v>
      </c>
      <c r="CC10" s="546">
        <f>ROUND(ROUND(40.43*0.85,2)*0.34*192,0)</f>
        <v>2244</v>
      </c>
      <c r="CD10" s="547">
        <v>216</v>
      </c>
      <c r="CE10" s="546">
        <f>ROUND(ROUND(40.43*0.85,2)*0.34*216,0)</f>
        <v>2524</v>
      </c>
      <c r="CF10" s="547">
        <v>204</v>
      </c>
      <c r="CG10" s="546">
        <f>ROUND(ROUND(40.43*0.85,2)*0.34*204,0)</f>
        <v>2384</v>
      </c>
      <c r="CH10" s="547">
        <v>155</v>
      </c>
      <c r="CI10" s="546">
        <f>ROUND(ROUND(40.43*0.85,2)*0.34*155,0)</f>
        <v>1811</v>
      </c>
      <c r="CJ10" s="547">
        <v>65</v>
      </c>
      <c r="CK10" s="546">
        <f>ROUND(ROUND(40.43*0.85,2)*0.34*65,0)</f>
        <v>760</v>
      </c>
      <c r="CL10" s="547">
        <v>63</v>
      </c>
      <c r="CM10" s="546">
        <f>ROUND(ROUND(40.43*0.85,2)*0.34*63,0)</f>
        <v>736</v>
      </c>
      <c r="CN10" s="547">
        <v>51</v>
      </c>
      <c r="CO10" s="546">
        <f>ROUND(ROUND(40.43*0.85,2)*0.34*51,0)</f>
        <v>596</v>
      </c>
      <c r="CP10" s="547">
        <v>37</v>
      </c>
      <c r="CQ10" s="546">
        <f>ROUND(ROUND(40.43*0.85,2)*0.34*37,0)</f>
        <v>432</v>
      </c>
      <c r="CR10" s="547">
        <v>17</v>
      </c>
      <c r="CS10" s="546">
        <f>ROUND(ROUND(40.43*0.85,2)*0.34*17,0)</f>
        <v>199</v>
      </c>
      <c r="CT10" s="547">
        <v>0</v>
      </c>
      <c r="CU10" s="546">
        <f>ROUND(ROUND(40.43*0.85,2)*0.34*0,0)</f>
        <v>0</v>
      </c>
      <c r="CV10" s="547">
        <v>0</v>
      </c>
      <c r="CW10" s="546">
        <f>ROUND(ROUND(40.43*0.85,2)*0.34*0,0)</f>
        <v>0</v>
      </c>
      <c r="CX10" s="547">
        <v>0</v>
      </c>
      <c r="CY10" s="546">
        <f>ROUND(ROUND(40.43*0.85,2)*0.34*0,0)</f>
        <v>0</v>
      </c>
      <c r="CZ10" s="547">
        <v>0</v>
      </c>
      <c r="DA10" s="546">
        <f>ROUND(ROUND(40.43*0.85,2)*0.34*0,0)</f>
        <v>0</v>
      </c>
      <c r="DB10" s="547">
        <v>0</v>
      </c>
      <c r="DC10" s="546">
        <f>ROUND(ROUND(40.43*0.85,2)*0.34*0,0)</f>
        <v>0</v>
      </c>
      <c r="DD10" s="547">
        <v>0</v>
      </c>
      <c r="DE10" s="548">
        <f>ROUND(ROUND(40.43*0.85,2)*0.34*0,0)</f>
        <v>0</v>
      </c>
      <c r="DF10" s="549"/>
      <c r="DG10" s="539"/>
      <c r="DH10" s="540"/>
      <c r="DI10" s="541"/>
      <c r="DJ10" s="542"/>
      <c r="DK10" s="540"/>
      <c r="DL10" s="541"/>
      <c r="DM10" s="543">
        <v>0</v>
      </c>
      <c r="DN10" s="544">
        <f>ROUND(ROUND(40.43*0.85,2)*0.34*0,0)</f>
        <v>0</v>
      </c>
      <c r="DO10" s="545">
        <v>0</v>
      </c>
      <c r="DP10" s="546">
        <f>ROUND(ROUND(40.43*0.85,2)*0.34*0,0)</f>
        <v>0</v>
      </c>
      <c r="DQ10" s="547">
        <v>0</v>
      </c>
      <c r="DR10" s="546">
        <f>ROUND(ROUND(40.43*0.85,2)*0.34*0,0)</f>
        <v>0</v>
      </c>
      <c r="DS10" s="547">
        <v>0</v>
      </c>
      <c r="DT10" s="546">
        <f>ROUND(ROUND(40.43*0.85,2)*0.34*0,0)</f>
        <v>0</v>
      </c>
      <c r="DU10" s="547">
        <v>0</v>
      </c>
      <c r="DV10" s="546">
        <f>ROUND(ROUND(40.43*0.85,2)*0.34*0,0)</f>
        <v>0</v>
      </c>
      <c r="DW10" s="547">
        <v>0</v>
      </c>
      <c r="DX10" s="546">
        <f>ROUND(ROUND(40.43*0.85,2)*0.34*0,0)</f>
        <v>0</v>
      </c>
      <c r="DY10" s="547">
        <v>0</v>
      </c>
      <c r="DZ10" s="546">
        <f>ROUND(ROUND(40.43*0.85,2)*0.34*0,0)</f>
        <v>0</v>
      </c>
      <c r="EA10" s="547">
        <v>0</v>
      </c>
      <c r="EB10" s="546">
        <f>ROUND(ROUND(40.43*0.85,2)*0.34*0,0)</f>
        <v>0</v>
      </c>
      <c r="EC10" s="547">
        <v>302</v>
      </c>
      <c r="ED10" s="546">
        <f>ROUND(ROUND(40.43*0.85,2)*0.34*302,0)</f>
        <v>3529</v>
      </c>
      <c r="EE10" s="547">
        <v>369</v>
      </c>
      <c r="EF10" s="546">
        <f>ROUND(ROUND(40.43*0.85,2)*0.34*369,0)</f>
        <v>4312</v>
      </c>
      <c r="EG10" s="547">
        <v>403</v>
      </c>
      <c r="EH10" s="546">
        <f>ROUND(ROUND(40.43*0.85,2)*0.34*403,0)</f>
        <v>4709</v>
      </c>
      <c r="EI10" s="547">
        <v>383</v>
      </c>
      <c r="EJ10" s="546">
        <f>ROUND(ROUND(40.43*0.85,2)*0.34*383,0)</f>
        <v>4476</v>
      </c>
      <c r="EK10" s="547">
        <v>316</v>
      </c>
      <c r="EL10" s="546">
        <f>ROUND(ROUND(40.43*0.85,2)*0.34*316,0)</f>
        <v>3693</v>
      </c>
      <c r="EM10" s="547">
        <v>220</v>
      </c>
      <c r="EN10" s="546">
        <f>ROUND(ROUND(40.43*0.85,2)*0.34*220,0)</f>
        <v>2571</v>
      </c>
      <c r="EO10" s="547">
        <v>112</v>
      </c>
      <c r="EP10" s="546">
        <f>ROUND(ROUND(40.43*0.85,2)*0.34*112,0)</f>
        <v>1309</v>
      </c>
      <c r="EQ10" s="547">
        <v>42</v>
      </c>
      <c r="ER10" s="546">
        <f>ROUND(ROUND(40.43*0.85,2)*0.34*42,0)</f>
        <v>491</v>
      </c>
      <c r="ES10" s="547">
        <v>19</v>
      </c>
      <c r="ET10" s="546">
        <f>ROUND(ROUND(40.43*0.85,2)*0.34*19,0)</f>
        <v>222</v>
      </c>
      <c r="EU10" s="547">
        <v>2</v>
      </c>
      <c r="EV10" s="546">
        <f>ROUND(ROUND(40.43*0.85,2)*0.34*2,0)</f>
        <v>23</v>
      </c>
      <c r="EW10" s="547">
        <v>0</v>
      </c>
      <c r="EX10" s="546">
        <f>ROUND(ROUND(40.43*0.85,2)*0.34*0,0)</f>
        <v>0</v>
      </c>
      <c r="EY10" s="547">
        <v>0</v>
      </c>
      <c r="EZ10" s="546">
        <f>ROUND(ROUND(40.43*0.85,2)*0.34*0,0)</f>
        <v>0</v>
      </c>
      <c r="FA10" s="547">
        <v>0</v>
      </c>
      <c r="FB10" s="546">
        <f>ROUND(ROUND(40.43*0.85,2)*0.34*0,0)</f>
        <v>0</v>
      </c>
      <c r="FC10" s="547">
        <v>0</v>
      </c>
      <c r="FD10" s="546">
        <f>ROUND(ROUND(40.43*0.85,2)*0.34*0,0)</f>
        <v>0</v>
      </c>
      <c r="FE10" s="547">
        <v>0</v>
      </c>
      <c r="FF10" s="546">
        <f>ROUND(ROUND(40.43*0.85,2)*0.34*0,0)</f>
        <v>0</v>
      </c>
      <c r="FG10" s="547">
        <v>0</v>
      </c>
      <c r="FH10" s="548">
        <f>ROUND(ROUND(40.43*0.85,2)*0.34*0,0)</f>
        <v>0</v>
      </c>
      <c r="FI10" s="550"/>
      <c r="FJ10" s="551"/>
      <c r="FK10" s="540"/>
      <c r="FL10" s="541"/>
      <c r="FM10" s="542"/>
      <c r="FN10" s="540"/>
      <c r="FO10" s="541"/>
      <c r="FP10" s="552"/>
      <c r="FQ10" s="545"/>
      <c r="FR10" s="544" t="s">
        <v>494</v>
      </c>
      <c r="FS10" s="553"/>
      <c r="FT10" s="545"/>
      <c r="FU10" s="554" t="s">
        <v>494</v>
      </c>
      <c r="FV10" s="1255" t="s">
        <v>276</v>
      </c>
      <c r="FW10" s="1256"/>
      <c r="FX10" s="1257" t="s">
        <v>277</v>
      </c>
      <c r="FY10" s="1258"/>
      <c r="FZ10" s="1259" t="s">
        <v>278</v>
      </c>
      <c r="GA10" s="1260"/>
      <c r="GB10" s="1261" t="s">
        <v>511</v>
      </c>
      <c r="GC10" s="1262"/>
      <c r="GD10" s="563" t="s">
        <v>512</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495</v>
      </c>
      <c r="FS11" s="578"/>
      <c r="FT11" s="573"/>
      <c r="FU11" s="579" t="s">
        <v>495</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495</v>
      </c>
      <c r="FS12" s="578"/>
      <c r="FT12" s="573"/>
      <c r="FU12" s="579" t="s">
        <v>495</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495</v>
      </c>
      <c r="FS13" s="613"/>
      <c r="FT13" s="608"/>
      <c r="FU13" s="614" t="s">
        <v>495</v>
      </c>
      <c r="FV13" s="580"/>
      <c r="FW13" s="581"/>
      <c r="FX13" s="582"/>
      <c r="FY13" s="583"/>
      <c r="FZ13" s="584"/>
      <c r="GA13" s="585"/>
      <c r="GB13" s="586"/>
      <c r="GC13" s="587"/>
      <c r="GD13" s="586"/>
      <c r="GE13" s="588"/>
      <c r="GF13" s="486"/>
      <c r="GG13" s="589"/>
      <c r="GH13" s="589"/>
      <c r="GI13" s="589"/>
      <c r="GJ13" s="404"/>
      <c r="GK13" s="615">
        <v>202</v>
      </c>
      <c r="GL13" s="616"/>
      <c r="GM13" s="617" t="s">
        <v>431</v>
      </c>
      <c r="GN13" s="618">
        <v>40.43</v>
      </c>
      <c r="GO13" s="619">
        <v>0</v>
      </c>
      <c r="GP13" s="619">
        <v>1</v>
      </c>
      <c r="GQ13" s="620">
        <v>0</v>
      </c>
      <c r="GR13" s="621">
        <v>40.43</v>
      </c>
      <c r="GS13" s="565"/>
      <c r="GT13" s="404"/>
      <c r="GU13" s="615">
        <v>202</v>
      </c>
      <c r="GV13" s="616"/>
      <c r="GW13" s="622" t="s">
        <v>432</v>
      </c>
      <c r="GX13" s="623">
        <v>40.43</v>
      </c>
      <c r="GY13" s="624"/>
      <c r="GZ13" s="625">
        <v>0.65</v>
      </c>
      <c r="HA13" s="626">
        <v>26.28</v>
      </c>
      <c r="HB13" s="627"/>
      <c r="HC13" s="517"/>
      <c r="HD13" s="782"/>
      <c r="HE13" s="428"/>
      <c r="HF13" s="377"/>
      <c r="HG13" s="377"/>
    </row>
    <row r="14" spans="1:353" ht="20.100000000000001" customHeight="1">
      <c r="A14" s="628"/>
      <c r="B14" s="629"/>
      <c r="C14" s="629"/>
      <c r="D14" s="630" t="s">
        <v>496</v>
      </c>
      <c r="E14" s="629"/>
      <c r="F14" s="629"/>
      <c r="G14" s="1263"/>
      <c r="H14" s="1264">
        <f>SUM(H10:H13)</f>
        <v>0</v>
      </c>
      <c r="I14" s="1265"/>
      <c r="J14" s="1264">
        <f>SUM(J10:J13)</f>
        <v>0</v>
      </c>
      <c r="K14" s="1265"/>
      <c r="L14" s="1264">
        <f>SUM(L10:L13)</f>
        <v>0</v>
      </c>
      <c r="M14" s="1265"/>
      <c r="N14" s="1264">
        <f>SUM(N10:N13)</f>
        <v>0</v>
      </c>
      <c r="O14" s="1265"/>
      <c r="P14" s="1264">
        <f>SUM(P10:P13)</f>
        <v>0</v>
      </c>
      <c r="Q14" s="1265"/>
      <c r="R14" s="1264">
        <f>SUM(R10:R13)</f>
        <v>0</v>
      </c>
      <c r="S14" s="1265"/>
      <c r="T14" s="1264">
        <f>SUM(T10:T13)</f>
        <v>0</v>
      </c>
      <c r="U14" s="1265"/>
      <c r="V14" s="1264">
        <f>SUM(V10:V13)</f>
        <v>0</v>
      </c>
      <c r="W14" s="1265"/>
      <c r="X14" s="1264">
        <f>SUM(X10:X13)</f>
        <v>1519</v>
      </c>
      <c r="Y14" s="1265"/>
      <c r="Z14" s="1264">
        <f>SUM(Z10:Z13)</f>
        <v>1987</v>
      </c>
      <c r="AA14" s="1265"/>
      <c r="AB14" s="1264">
        <f>SUM(AB10:AB13)</f>
        <v>2255</v>
      </c>
      <c r="AC14" s="1265"/>
      <c r="AD14" s="1264">
        <f>SUM(AD10:AD13)</f>
        <v>2197</v>
      </c>
      <c r="AE14" s="1265"/>
      <c r="AF14" s="1264">
        <f>SUM(AF10:AF13)</f>
        <v>1788</v>
      </c>
      <c r="AG14" s="1265"/>
      <c r="AH14" s="1264">
        <f>SUM(AH10:AH13)</f>
        <v>1052</v>
      </c>
      <c r="AI14" s="1265"/>
      <c r="AJ14" s="1264">
        <f>SUM(AJ10:AJ13)</f>
        <v>935</v>
      </c>
      <c r="AK14" s="1265"/>
      <c r="AL14" s="1264">
        <f>SUM(AL10:AL13)</f>
        <v>736</v>
      </c>
      <c r="AM14" s="1265"/>
      <c r="AN14" s="1264">
        <f>SUM(AN10:AN13)</f>
        <v>456</v>
      </c>
      <c r="AO14" s="1265"/>
      <c r="AP14" s="1264">
        <f>SUM(AP10:AP13)</f>
        <v>140</v>
      </c>
      <c r="AQ14" s="1265"/>
      <c r="AR14" s="1264">
        <f>SUM(AR10:AR13)</f>
        <v>0</v>
      </c>
      <c r="AS14" s="1265"/>
      <c r="AT14" s="1264">
        <f>SUM(AT10:AT13)</f>
        <v>0</v>
      </c>
      <c r="AU14" s="1265"/>
      <c r="AV14" s="1264">
        <f>SUM(AV10:AV13)</f>
        <v>0</v>
      </c>
      <c r="AW14" s="1265"/>
      <c r="AX14" s="1264">
        <f>SUM(AX10:AX13)</f>
        <v>0</v>
      </c>
      <c r="AY14" s="1265"/>
      <c r="AZ14" s="1264">
        <f>SUM(AZ10:AZ13)</f>
        <v>0</v>
      </c>
      <c r="BA14" s="1265"/>
      <c r="BB14" s="1266">
        <f>SUM(BB10:BB13)</f>
        <v>0</v>
      </c>
      <c r="BC14" s="635"/>
      <c r="BD14" s="628"/>
      <c r="BE14" s="629"/>
      <c r="BF14" s="629"/>
      <c r="BG14" s="630" t="s">
        <v>497</v>
      </c>
      <c r="BH14" s="629"/>
      <c r="BI14" s="629"/>
      <c r="BJ14" s="1263"/>
      <c r="BK14" s="1264">
        <f>SUM(BK10:BK13)</f>
        <v>0</v>
      </c>
      <c r="BL14" s="1265"/>
      <c r="BM14" s="1264">
        <f>SUM(BM10:BM13)</f>
        <v>0</v>
      </c>
      <c r="BN14" s="1265"/>
      <c r="BO14" s="1264">
        <f>SUM(BO10:BO13)</f>
        <v>0</v>
      </c>
      <c r="BP14" s="1265"/>
      <c r="BQ14" s="1264">
        <f>SUM(BQ10:BQ13)</f>
        <v>0</v>
      </c>
      <c r="BR14" s="1265"/>
      <c r="BS14" s="1264">
        <f>SUM(BS10:BS13)</f>
        <v>0</v>
      </c>
      <c r="BT14" s="1265"/>
      <c r="BU14" s="1264">
        <f>SUM(BU10:BU13)</f>
        <v>0</v>
      </c>
      <c r="BV14" s="1265"/>
      <c r="BW14" s="1264">
        <f>SUM(BW10:BW13)</f>
        <v>0</v>
      </c>
      <c r="BX14" s="1265"/>
      <c r="BY14" s="1264">
        <f>SUM(BY10:BY13)</f>
        <v>0</v>
      </c>
      <c r="BZ14" s="1265"/>
      <c r="CA14" s="1264">
        <f>SUM(CA10:CA13)</f>
        <v>1648</v>
      </c>
      <c r="CB14" s="1265"/>
      <c r="CC14" s="1264">
        <f>SUM(CC10:CC13)</f>
        <v>2244</v>
      </c>
      <c r="CD14" s="1265"/>
      <c r="CE14" s="1264">
        <f>SUM(CE10:CE13)</f>
        <v>2524</v>
      </c>
      <c r="CF14" s="1265"/>
      <c r="CG14" s="1264">
        <f>SUM(CG10:CG13)</f>
        <v>2384</v>
      </c>
      <c r="CH14" s="1265"/>
      <c r="CI14" s="1264">
        <f>SUM(CI10:CI13)</f>
        <v>1811</v>
      </c>
      <c r="CJ14" s="1265"/>
      <c r="CK14" s="1264">
        <f>SUM(CK10:CK13)</f>
        <v>760</v>
      </c>
      <c r="CL14" s="1265"/>
      <c r="CM14" s="1264">
        <f>SUM(CM10:CM13)</f>
        <v>736</v>
      </c>
      <c r="CN14" s="1265"/>
      <c r="CO14" s="1264">
        <f>SUM(CO10:CO13)</f>
        <v>596</v>
      </c>
      <c r="CP14" s="1265"/>
      <c r="CQ14" s="1264">
        <f>SUM(CQ10:CQ13)</f>
        <v>432</v>
      </c>
      <c r="CR14" s="1265"/>
      <c r="CS14" s="1264">
        <f>SUM(CS10:CS13)</f>
        <v>199</v>
      </c>
      <c r="CT14" s="1265"/>
      <c r="CU14" s="1264">
        <f>SUM(CU10:CU13)</f>
        <v>0</v>
      </c>
      <c r="CV14" s="1265"/>
      <c r="CW14" s="1264">
        <f>SUM(CW10:CW13)</f>
        <v>0</v>
      </c>
      <c r="CX14" s="1265"/>
      <c r="CY14" s="1264">
        <f>SUM(CY10:CY13)</f>
        <v>0</v>
      </c>
      <c r="CZ14" s="1265"/>
      <c r="DA14" s="1264">
        <f>SUM(DA10:DA13)</f>
        <v>0</v>
      </c>
      <c r="DB14" s="1265"/>
      <c r="DC14" s="1264">
        <f>SUM(DC10:DC13)</f>
        <v>0</v>
      </c>
      <c r="DD14" s="1265"/>
      <c r="DE14" s="1266">
        <f>SUM(DE10:DE13)</f>
        <v>0</v>
      </c>
      <c r="DF14" s="635"/>
      <c r="DG14" s="628"/>
      <c r="DH14" s="629"/>
      <c r="DI14" s="629"/>
      <c r="DJ14" s="630" t="s">
        <v>498</v>
      </c>
      <c r="DK14" s="629"/>
      <c r="DL14" s="629"/>
      <c r="DM14" s="1263"/>
      <c r="DN14" s="1264">
        <f>SUM(DN10:DN13)</f>
        <v>0</v>
      </c>
      <c r="DO14" s="1265"/>
      <c r="DP14" s="1264">
        <f>SUM(DP10:DP13)</f>
        <v>0</v>
      </c>
      <c r="DQ14" s="1265"/>
      <c r="DR14" s="1264">
        <f>SUM(DR10:DR13)</f>
        <v>0</v>
      </c>
      <c r="DS14" s="1265"/>
      <c r="DT14" s="1264">
        <f>SUM(DT10:DT13)</f>
        <v>0</v>
      </c>
      <c r="DU14" s="1265"/>
      <c r="DV14" s="1264">
        <f>SUM(DV10:DV13)</f>
        <v>0</v>
      </c>
      <c r="DW14" s="1265"/>
      <c r="DX14" s="1264">
        <f>SUM(DX10:DX13)</f>
        <v>0</v>
      </c>
      <c r="DY14" s="1265"/>
      <c r="DZ14" s="1264">
        <f>SUM(DZ10:DZ13)</f>
        <v>0</v>
      </c>
      <c r="EA14" s="1265"/>
      <c r="EB14" s="1264">
        <f>SUM(EB10:EB13)</f>
        <v>0</v>
      </c>
      <c r="EC14" s="1265"/>
      <c r="ED14" s="1264">
        <f>SUM(ED10:ED13)</f>
        <v>3529</v>
      </c>
      <c r="EE14" s="1265"/>
      <c r="EF14" s="1264">
        <f>SUM(EF10:EF13)</f>
        <v>4312</v>
      </c>
      <c r="EG14" s="1265"/>
      <c r="EH14" s="1264">
        <f>SUM(EH10:EH13)</f>
        <v>4709</v>
      </c>
      <c r="EI14" s="1265"/>
      <c r="EJ14" s="1264">
        <f>SUM(EJ10:EJ13)</f>
        <v>4476</v>
      </c>
      <c r="EK14" s="1265"/>
      <c r="EL14" s="1264">
        <f>SUM(EL10:EL13)</f>
        <v>3693</v>
      </c>
      <c r="EM14" s="1265"/>
      <c r="EN14" s="1264">
        <f>SUM(EN10:EN13)</f>
        <v>2571</v>
      </c>
      <c r="EO14" s="1265"/>
      <c r="EP14" s="1264">
        <f>SUM(EP10:EP13)</f>
        <v>1309</v>
      </c>
      <c r="EQ14" s="1265"/>
      <c r="ER14" s="1264">
        <f>SUM(ER10:ER13)</f>
        <v>491</v>
      </c>
      <c r="ES14" s="1265"/>
      <c r="ET14" s="1264">
        <f>SUM(ET10:ET13)</f>
        <v>222</v>
      </c>
      <c r="EU14" s="1265"/>
      <c r="EV14" s="1264">
        <f>SUM(EV10:EV13)</f>
        <v>23</v>
      </c>
      <c r="EW14" s="1265"/>
      <c r="EX14" s="1264">
        <f>SUM(EX10:EX13)</f>
        <v>0</v>
      </c>
      <c r="EY14" s="1265"/>
      <c r="EZ14" s="1264">
        <f>SUM(EZ10:EZ13)</f>
        <v>0</v>
      </c>
      <c r="FA14" s="1265"/>
      <c r="FB14" s="1264">
        <f>SUM(FB10:FB13)</f>
        <v>0</v>
      </c>
      <c r="FC14" s="1265"/>
      <c r="FD14" s="1264">
        <f>SUM(FD10:FD13)</f>
        <v>0</v>
      </c>
      <c r="FE14" s="1265"/>
      <c r="FF14" s="1264">
        <f>SUM(FF10:FF13)</f>
        <v>0</v>
      </c>
      <c r="FG14" s="1265"/>
      <c r="FH14" s="1266">
        <f>SUM(FH10:FH13)</f>
        <v>0</v>
      </c>
      <c r="FI14" s="636"/>
      <c r="FJ14" s="551"/>
      <c r="FK14" s="629"/>
      <c r="FL14" s="629"/>
      <c r="FM14" s="630" t="s">
        <v>497</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499</v>
      </c>
      <c r="E15" s="647" t="s">
        <v>285</v>
      </c>
      <c r="F15" s="648" t="s">
        <v>104</v>
      </c>
      <c r="G15" s="649" t="s">
        <v>500</v>
      </c>
      <c r="H15" s="650" t="s">
        <v>501</v>
      </c>
      <c r="I15" s="651" t="s">
        <v>288</v>
      </c>
      <c r="J15" s="650" t="s">
        <v>501</v>
      </c>
      <c r="K15" s="651" t="s">
        <v>288</v>
      </c>
      <c r="L15" s="650" t="s">
        <v>502</v>
      </c>
      <c r="M15" s="651" t="s">
        <v>288</v>
      </c>
      <c r="N15" s="650" t="s">
        <v>501</v>
      </c>
      <c r="O15" s="651" t="s">
        <v>288</v>
      </c>
      <c r="P15" s="650" t="s">
        <v>501</v>
      </c>
      <c r="Q15" s="651" t="s">
        <v>288</v>
      </c>
      <c r="R15" s="650" t="s">
        <v>501</v>
      </c>
      <c r="S15" s="651" t="s">
        <v>288</v>
      </c>
      <c r="T15" s="650" t="s">
        <v>501</v>
      </c>
      <c r="U15" s="651" t="s">
        <v>288</v>
      </c>
      <c r="V15" s="650" t="s">
        <v>502</v>
      </c>
      <c r="W15" s="651" t="s">
        <v>288</v>
      </c>
      <c r="X15" s="650" t="s">
        <v>501</v>
      </c>
      <c r="Y15" s="651" t="s">
        <v>288</v>
      </c>
      <c r="Z15" s="650" t="s">
        <v>501</v>
      </c>
      <c r="AA15" s="651" t="s">
        <v>288</v>
      </c>
      <c r="AB15" s="650" t="s">
        <v>501</v>
      </c>
      <c r="AC15" s="651" t="s">
        <v>288</v>
      </c>
      <c r="AD15" s="650" t="s">
        <v>501</v>
      </c>
      <c r="AE15" s="651" t="s">
        <v>288</v>
      </c>
      <c r="AF15" s="650" t="s">
        <v>501</v>
      </c>
      <c r="AG15" s="651" t="s">
        <v>288</v>
      </c>
      <c r="AH15" s="650" t="s">
        <v>501</v>
      </c>
      <c r="AI15" s="651" t="s">
        <v>288</v>
      </c>
      <c r="AJ15" s="650" t="s">
        <v>502</v>
      </c>
      <c r="AK15" s="651" t="s">
        <v>288</v>
      </c>
      <c r="AL15" s="650" t="s">
        <v>501</v>
      </c>
      <c r="AM15" s="651" t="s">
        <v>288</v>
      </c>
      <c r="AN15" s="650" t="s">
        <v>501</v>
      </c>
      <c r="AO15" s="651" t="s">
        <v>288</v>
      </c>
      <c r="AP15" s="650" t="s">
        <v>501</v>
      </c>
      <c r="AQ15" s="651" t="s">
        <v>288</v>
      </c>
      <c r="AR15" s="650" t="s">
        <v>502</v>
      </c>
      <c r="AS15" s="651" t="s">
        <v>288</v>
      </c>
      <c r="AT15" s="650" t="s">
        <v>501</v>
      </c>
      <c r="AU15" s="651" t="s">
        <v>288</v>
      </c>
      <c r="AV15" s="650" t="s">
        <v>502</v>
      </c>
      <c r="AW15" s="651" t="s">
        <v>288</v>
      </c>
      <c r="AX15" s="650" t="s">
        <v>501</v>
      </c>
      <c r="AY15" s="651" t="s">
        <v>288</v>
      </c>
      <c r="AZ15" s="650" t="s">
        <v>502</v>
      </c>
      <c r="BA15" s="651" t="s">
        <v>288</v>
      </c>
      <c r="BB15" s="652" t="s">
        <v>291</v>
      </c>
      <c r="BC15" s="653"/>
      <c r="BD15" s="519" t="s">
        <v>283</v>
      </c>
      <c r="BE15" s="645" t="s">
        <v>261</v>
      </c>
      <c r="BF15" s="646" t="s">
        <v>262</v>
      </c>
      <c r="BG15" s="647" t="s">
        <v>490</v>
      </c>
      <c r="BH15" s="647" t="s">
        <v>285</v>
      </c>
      <c r="BI15" s="648" t="s">
        <v>104</v>
      </c>
      <c r="BJ15" s="649" t="s">
        <v>503</v>
      </c>
      <c r="BK15" s="650" t="s">
        <v>501</v>
      </c>
      <c r="BL15" s="651" t="s">
        <v>288</v>
      </c>
      <c r="BM15" s="650" t="s">
        <v>502</v>
      </c>
      <c r="BN15" s="651" t="s">
        <v>288</v>
      </c>
      <c r="BO15" s="650" t="s">
        <v>501</v>
      </c>
      <c r="BP15" s="651" t="s">
        <v>288</v>
      </c>
      <c r="BQ15" s="650" t="s">
        <v>502</v>
      </c>
      <c r="BR15" s="651" t="s">
        <v>288</v>
      </c>
      <c r="BS15" s="650" t="s">
        <v>502</v>
      </c>
      <c r="BT15" s="651" t="s">
        <v>288</v>
      </c>
      <c r="BU15" s="650" t="s">
        <v>502</v>
      </c>
      <c r="BV15" s="651" t="s">
        <v>288</v>
      </c>
      <c r="BW15" s="650" t="s">
        <v>501</v>
      </c>
      <c r="BX15" s="651" t="s">
        <v>288</v>
      </c>
      <c r="BY15" s="650" t="s">
        <v>501</v>
      </c>
      <c r="BZ15" s="651" t="s">
        <v>288</v>
      </c>
      <c r="CA15" s="650" t="s">
        <v>502</v>
      </c>
      <c r="CB15" s="651" t="s">
        <v>288</v>
      </c>
      <c r="CC15" s="650" t="s">
        <v>501</v>
      </c>
      <c r="CD15" s="651" t="s">
        <v>288</v>
      </c>
      <c r="CE15" s="650" t="s">
        <v>501</v>
      </c>
      <c r="CF15" s="651" t="s">
        <v>288</v>
      </c>
      <c r="CG15" s="650" t="s">
        <v>501</v>
      </c>
      <c r="CH15" s="651" t="s">
        <v>288</v>
      </c>
      <c r="CI15" s="650" t="s">
        <v>501</v>
      </c>
      <c r="CJ15" s="651" t="s">
        <v>288</v>
      </c>
      <c r="CK15" s="650" t="s">
        <v>501</v>
      </c>
      <c r="CL15" s="651" t="s">
        <v>288</v>
      </c>
      <c r="CM15" s="650" t="s">
        <v>501</v>
      </c>
      <c r="CN15" s="651" t="s">
        <v>288</v>
      </c>
      <c r="CO15" s="650" t="s">
        <v>501</v>
      </c>
      <c r="CP15" s="651" t="s">
        <v>288</v>
      </c>
      <c r="CQ15" s="650" t="s">
        <v>501</v>
      </c>
      <c r="CR15" s="651" t="s">
        <v>288</v>
      </c>
      <c r="CS15" s="650" t="s">
        <v>502</v>
      </c>
      <c r="CT15" s="651" t="s">
        <v>288</v>
      </c>
      <c r="CU15" s="650" t="s">
        <v>504</v>
      </c>
      <c r="CV15" s="651" t="s">
        <v>288</v>
      </c>
      <c r="CW15" s="650" t="s">
        <v>501</v>
      </c>
      <c r="CX15" s="651" t="s">
        <v>288</v>
      </c>
      <c r="CY15" s="650" t="s">
        <v>502</v>
      </c>
      <c r="CZ15" s="651" t="s">
        <v>288</v>
      </c>
      <c r="DA15" s="650" t="s">
        <v>501</v>
      </c>
      <c r="DB15" s="651" t="s">
        <v>288</v>
      </c>
      <c r="DC15" s="650" t="s">
        <v>501</v>
      </c>
      <c r="DD15" s="651" t="s">
        <v>288</v>
      </c>
      <c r="DE15" s="652" t="s">
        <v>291</v>
      </c>
      <c r="DF15" s="653"/>
      <c r="DG15" s="519" t="s">
        <v>283</v>
      </c>
      <c r="DH15" s="645" t="s">
        <v>261</v>
      </c>
      <c r="DI15" s="646" t="s">
        <v>262</v>
      </c>
      <c r="DJ15" s="647" t="s">
        <v>490</v>
      </c>
      <c r="DK15" s="647" t="s">
        <v>285</v>
      </c>
      <c r="DL15" s="648" t="s">
        <v>104</v>
      </c>
      <c r="DM15" s="649" t="s">
        <v>500</v>
      </c>
      <c r="DN15" s="650" t="s">
        <v>502</v>
      </c>
      <c r="DO15" s="651" t="s">
        <v>288</v>
      </c>
      <c r="DP15" s="650" t="s">
        <v>501</v>
      </c>
      <c r="DQ15" s="651" t="s">
        <v>288</v>
      </c>
      <c r="DR15" s="650" t="s">
        <v>501</v>
      </c>
      <c r="DS15" s="651" t="s">
        <v>288</v>
      </c>
      <c r="DT15" s="650" t="s">
        <v>502</v>
      </c>
      <c r="DU15" s="651" t="s">
        <v>288</v>
      </c>
      <c r="DV15" s="650" t="s">
        <v>501</v>
      </c>
      <c r="DW15" s="651" t="s">
        <v>288</v>
      </c>
      <c r="DX15" s="650" t="s">
        <v>501</v>
      </c>
      <c r="DY15" s="651" t="s">
        <v>288</v>
      </c>
      <c r="DZ15" s="650" t="s">
        <v>501</v>
      </c>
      <c r="EA15" s="651" t="s">
        <v>288</v>
      </c>
      <c r="EB15" s="650" t="s">
        <v>502</v>
      </c>
      <c r="EC15" s="651" t="s">
        <v>288</v>
      </c>
      <c r="ED15" s="650" t="s">
        <v>501</v>
      </c>
      <c r="EE15" s="651" t="s">
        <v>288</v>
      </c>
      <c r="EF15" s="650" t="s">
        <v>501</v>
      </c>
      <c r="EG15" s="651" t="s">
        <v>288</v>
      </c>
      <c r="EH15" s="650" t="s">
        <v>501</v>
      </c>
      <c r="EI15" s="651" t="s">
        <v>288</v>
      </c>
      <c r="EJ15" s="650" t="s">
        <v>501</v>
      </c>
      <c r="EK15" s="651" t="s">
        <v>288</v>
      </c>
      <c r="EL15" s="650" t="s">
        <v>501</v>
      </c>
      <c r="EM15" s="651" t="s">
        <v>288</v>
      </c>
      <c r="EN15" s="650" t="s">
        <v>501</v>
      </c>
      <c r="EO15" s="651" t="s">
        <v>288</v>
      </c>
      <c r="EP15" s="650" t="s">
        <v>501</v>
      </c>
      <c r="EQ15" s="651" t="s">
        <v>288</v>
      </c>
      <c r="ER15" s="650" t="s">
        <v>501</v>
      </c>
      <c r="ES15" s="651" t="s">
        <v>288</v>
      </c>
      <c r="ET15" s="650" t="s">
        <v>501</v>
      </c>
      <c r="EU15" s="651" t="s">
        <v>288</v>
      </c>
      <c r="EV15" s="650" t="s">
        <v>501</v>
      </c>
      <c r="EW15" s="651" t="s">
        <v>288</v>
      </c>
      <c r="EX15" s="650" t="s">
        <v>502</v>
      </c>
      <c r="EY15" s="651" t="s">
        <v>288</v>
      </c>
      <c r="EZ15" s="650" t="s">
        <v>501</v>
      </c>
      <c r="FA15" s="651" t="s">
        <v>288</v>
      </c>
      <c r="FB15" s="650" t="s">
        <v>501</v>
      </c>
      <c r="FC15" s="651" t="s">
        <v>288</v>
      </c>
      <c r="FD15" s="650" t="s">
        <v>501</v>
      </c>
      <c r="FE15" s="651" t="s">
        <v>288</v>
      </c>
      <c r="FF15" s="650" t="s">
        <v>502</v>
      </c>
      <c r="FG15" s="651" t="s">
        <v>288</v>
      </c>
      <c r="FH15" s="652" t="s">
        <v>291</v>
      </c>
      <c r="FI15" s="654"/>
      <c r="FJ15" s="529" t="s">
        <v>283</v>
      </c>
      <c r="FK15" s="645" t="s">
        <v>261</v>
      </c>
      <c r="FL15" s="646" t="s">
        <v>262</v>
      </c>
      <c r="FM15" s="647" t="s">
        <v>490</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77</v>
      </c>
      <c r="D16" s="542">
        <v>40.43</v>
      </c>
      <c r="E16" s="663" t="s">
        <v>325</v>
      </c>
      <c r="F16" s="664"/>
      <c r="G16" s="665">
        <v>0</v>
      </c>
      <c r="H16" s="546">
        <f>ROUND(40.43*2.1*0,0)</f>
        <v>0</v>
      </c>
      <c r="I16" s="666">
        <v>0</v>
      </c>
      <c r="J16" s="546">
        <f>ROUND(40.43*2.1*0,0)</f>
        <v>0</v>
      </c>
      <c r="K16" s="666">
        <v>0</v>
      </c>
      <c r="L16" s="546">
        <f>ROUND(40.43*2.1*0,0)</f>
        <v>0</v>
      </c>
      <c r="M16" s="666">
        <v>0</v>
      </c>
      <c r="N16" s="546">
        <f>ROUND(40.43*2.1*0,0)</f>
        <v>0</v>
      </c>
      <c r="O16" s="666">
        <v>0</v>
      </c>
      <c r="P16" s="546">
        <f>ROUND(40.43*2.1*0,0)</f>
        <v>0</v>
      </c>
      <c r="Q16" s="666">
        <v>0</v>
      </c>
      <c r="R16" s="546">
        <f>ROUND(40.43*2.1*0,0)</f>
        <v>0</v>
      </c>
      <c r="S16" s="666">
        <v>0</v>
      </c>
      <c r="T16" s="546">
        <f>ROUND(40.43*2.1*0,0)</f>
        <v>0</v>
      </c>
      <c r="U16" s="666">
        <v>0</v>
      </c>
      <c r="V16" s="546">
        <f>ROUND(40.43*2.1*0,0)</f>
        <v>0</v>
      </c>
      <c r="W16" s="666">
        <v>3.3</v>
      </c>
      <c r="X16" s="546">
        <f>ROUND(40.43*2.1*3.3,0)</f>
        <v>280</v>
      </c>
      <c r="Y16" s="666">
        <v>4.5</v>
      </c>
      <c r="Z16" s="546">
        <f>ROUND(40.43*2.1*4.5,0)</f>
        <v>382</v>
      </c>
      <c r="AA16" s="666">
        <v>5.2</v>
      </c>
      <c r="AB16" s="546">
        <f>ROUND(40.43*2.1*5.2,0)</f>
        <v>441</v>
      </c>
      <c r="AC16" s="666">
        <v>5.7</v>
      </c>
      <c r="AD16" s="546">
        <f>ROUND(40.43*2.1*5.7,0)</f>
        <v>484</v>
      </c>
      <c r="AE16" s="666">
        <v>5.9</v>
      </c>
      <c r="AF16" s="546">
        <f>ROUND(40.43*2.1*5.9,0)</f>
        <v>501</v>
      </c>
      <c r="AG16" s="666">
        <v>5.9</v>
      </c>
      <c r="AH16" s="546">
        <f>ROUND(40.43*2.1*5.9,0)</f>
        <v>501</v>
      </c>
      <c r="AI16" s="666">
        <v>5.4</v>
      </c>
      <c r="AJ16" s="546">
        <f>ROUND(40.43*2.1*5.4,0)</f>
        <v>458</v>
      </c>
      <c r="AK16" s="666">
        <v>4.9000000000000004</v>
      </c>
      <c r="AL16" s="546">
        <f>ROUND(40.43*2.1*4.9,0)</f>
        <v>416</v>
      </c>
      <c r="AM16" s="666">
        <v>4</v>
      </c>
      <c r="AN16" s="546">
        <f>ROUND(40.43*2.1*4,0)</f>
        <v>340</v>
      </c>
      <c r="AO16" s="666">
        <v>3.3</v>
      </c>
      <c r="AP16" s="546">
        <f>ROUND(40.43*2.1*3.3,0)</f>
        <v>280</v>
      </c>
      <c r="AQ16" s="666">
        <v>0</v>
      </c>
      <c r="AR16" s="546">
        <f>ROUND(40.43*2.1*0,0)</f>
        <v>0</v>
      </c>
      <c r="AS16" s="666">
        <v>0</v>
      </c>
      <c r="AT16" s="546">
        <f>ROUND(40.43*2.1*0,0)</f>
        <v>0</v>
      </c>
      <c r="AU16" s="666">
        <v>0</v>
      </c>
      <c r="AV16" s="546">
        <f>ROUND(40.43*2.1*0,0)</f>
        <v>0</v>
      </c>
      <c r="AW16" s="666">
        <v>0</v>
      </c>
      <c r="AX16" s="546">
        <f>ROUND(40.43*2.1*0,0)</f>
        <v>0</v>
      </c>
      <c r="AY16" s="666">
        <v>0</v>
      </c>
      <c r="AZ16" s="546">
        <f>ROUND(40.43*2.1*0,0)</f>
        <v>0</v>
      </c>
      <c r="BA16" s="666">
        <v>0</v>
      </c>
      <c r="BB16" s="667">
        <f>ROUND(40.43*2.1*0,0)</f>
        <v>0</v>
      </c>
      <c r="BC16" s="549"/>
      <c r="BD16" s="539"/>
      <c r="BE16" s="541" t="s">
        <v>229</v>
      </c>
      <c r="BF16" s="662" t="s">
        <v>77</v>
      </c>
      <c r="BG16" s="542">
        <v>40.43</v>
      </c>
      <c r="BH16" s="663" t="s">
        <v>325</v>
      </c>
      <c r="BI16" s="664"/>
      <c r="BJ16" s="665">
        <v>0</v>
      </c>
      <c r="BK16" s="546">
        <f>ROUND(40.43*2.1*0,0)</f>
        <v>0</v>
      </c>
      <c r="BL16" s="666">
        <v>0</v>
      </c>
      <c r="BM16" s="546">
        <f>ROUND(40.43*2.1*0,0)</f>
        <v>0</v>
      </c>
      <c r="BN16" s="666">
        <v>0</v>
      </c>
      <c r="BO16" s="546">
        <f>ROUND(40.43*2.1*0,0)</f>
        <v>0</v>
      </c>
      <c r="BP16" s="666">
        <v>0</v>
      </c>
      <c r="BQ16" s="546">
        <f>ROUND(40.43*2.1*0,0)</f>
        <v>0</v>
      </c>
      <c r="BR16" s="666">
        <v>0</v>
      </c>
      <c r="BS16" s="546">
        <f>ROUND(40.43*2.1*0,0)</f>
        <v>0</v>
      </c>
      <c r="BT16" s="666">
        <v>0</v>
      </c>
      <c r="BU16" s="546">
        <f>ROUND(40.43*2.1*0,0)</f>
        <v>0</v>
      </c>
      <c r="BV16" s="666">
        <v>0</v>
      </c>
      <c r="BW16" s="546">
        <f>ROUND(40.43*2.1*0,0)</f>
        <v>0</v>
      </c>
      <c r="BX16" s="666">
        <v>0</v>
      </c>
      <c r="BY16" s="546">
        <f>ROUND(40.43*2.1*0,0)</f>
        <v>0</v>
      </c>
      <c r="BZ16" s="666">
        <v>3.1</v>
      </c>
      <c r="CA16" s="546">
        <f>ROUND(40.43*2.1*3.1,0)</f>
        <v>263</v>
      </c>
      <c r="CB16" s="666">
        <v>4.0999999999999996</v>
      </c>
      <c r="CC16" s="546">
        <f>ROUND(40.43*2.1*4.1,0)</f>
        <v>348</v>
      </c>
      <c r="CD16" s="666">
        <v>5</v>
      </c>
      <c r="CE16" s="546">
        <f>ROUND(40.43*2.1*5,0)</f>
        <v>425</v>
      </c>
      <c r="CF16" s="666">
        <v>5.4</v>
      </c>
      <c r="CG16" s="546">
        <f>ROUND(40.43*2.1*5.4,0)</f>
        <v>458</v>
      </c>
      <c r="CH16" s="666">
        <v>5.6</v>
      </c>
      <c r="CI16" s="546">
        <f>ROUND(40.43*2.1*5.6,0)</f>
        <v>475</v>
      </c>
      <c r="CJ16" s="666">
        <v>5.4</v>
      </c>
      <c r="CK16" s="546">
        <f>ROUND(40.43*2.1*5.4,0)</f>
        <v>458</v>
      </c>
      <c r="CL16" s="666">
        <v>4.9000000000000004</v>
      </c>
      <c r="CM16" s="546">
        <f>ROUND(40.43*2.1*4.9,0)</f>
        <v>416</v>
      </c>
      <c r="CN16" s="666">
        <v>4.5</v>
      </c>
      <c r="CO16" s="546">
        <f>ROUND(40.43*2.1*4.5,0)</f>
        <v>382</v>
      </c>
      <c r="CP16" s="666">
        <v>4</v>
      </c>
      <c r="CQ16" s="546">
        <f>ROUND(40.43*2.1*4,0)</f>
        <v>340</v>
      </c>
      <c r="CR16" s="666">
        <v>3.1</v>
      </c>
      <c r="CS16" s="546">
        <f>ROUND(40.43*2.1*3.1,0)</f>
        <v>263</v>
      </c>
      <c r="CT16" s="666">
        <v>0</v>
      </c>
      <c r="CU16" s="546">
        <f>ROUND(40.43*2.1*0,0)</f>
        <v>0</v>
      </c>
      <c r="CV16" s="666">
        <v>0</v>
      </c>
      <c r="CW16" s="546">
        <f>ROUND(40.43*2.1*0,0)</f>
        <v>0</v>
      </c>
      <c r="CX16" s="666">
        <v>0</v>
      </c>
      <c r="CY16" s="546">
        <f>ROUND(40.43*2.1*0,0)</f>
        <v>0</v>
      </c>
      <c r="CZ16" s="666">
        <v>0</v>
      </c>
      <c r="DA16" s="546">
        <f>ROUND(40.43*2.1*0,0)</f>
        <v>0</v>
      </c>
      <c r="DB16" s="666">
        <v>0</v>
      </c>
      <c r="DC16" s="546">
        <f>ROUND(40.43*2.1*0,0)</f>
        <v>0</v>
      </c>
      <c r="DD16" s="666">
        <v>0</v>
      </c>
      <c r="DE16" s="667">
        <f>ROUND(40.43*2.1*0,0)</f>
        <v>0</v>
      </c>
      <c r="DF16" s="549"/>
      <c r="DG16" s="539"/>
      <c r="DH16" s="541" t="s">
        <v>229</v>
      </c>
      <c r="DI16" s="662" t="s">
        <v>77</v>
      </c>
      <c r="DJ16" s="542">
        <v>40.43</v>
      </c>
      <c r="DK16" s="663" t="s">
        <v>325</v>
      </c>
      <c r="DL16" s="664"/>
      <c r="DM16" s="665">
        <v>0</v>
      </c>
      <c r="DN16" s="546">
        <f>ROUND(40.43*2.1*0,0)</f>
        <v>0</v>
      </c>
      <c r="DO16" s="666">
        <v>0</v>
      </c>
      <c r="DP16" s="546">
        <f>ROUND(40.43*2.1*0,0)</f>
        <v>0</v>
      </c>
      <c r="DQ16" s="666">
        <v>0</v>
      </c>
      <c r="DR16" s="546">
        <f>ROUND(40.43*2.1*0,0)</f>
        <v>0</v>
      </c>
      <c r="DS16" s="666">
        <v>0</v>
      </c>
      <c r="DT16" s="546">
        <f>ROUND(40.43*2.1*0,0)</f>
        <v>0</v>
      </c>
      <c r="DU16" s="666">
        <v>0</v>
      </c>
      <c r="DV16" s="546">
        <f>ROUND(40.43*2.1*0,0)</f>
        <v>0</v>
      </c>
      <c r="DW16" s="666">
        <v>0</v>
      </c>
      <c r="DX16" s="546">
        <f>ROUND(40.43*2.1*0,0)</f>
        <v>0</v>
      </c>
      <c r="DY16" s="666">
        <v>0</v>
      </c>
      <c r="DZ16" s="546">
        <f>ROUND(40.43*2.1*0,0)</f>
        <v>0</v>
      </c>
      <c r="EA16" s="666">
        <v>0</v>
      </c>
      <c r="EB16" s="546">
        <f>ROUND(40.43*2.1*0,0)</f>
        <v>0</v>
      </c>
      <c r="EC16" s="666">
        <v>0.80000000000000104</v>
      </c>
      <c r="ED16" s="546">
        <f>ROUND(40.43*2.1*0.800000000000001,0)</f>
        <v>68</v>
      </c>
      <c r="EE16" s="666">
        <v>2.1</v>
      </c>
      <c r="EF16" s="546">
        <f>ROUND(40.43*2.1*2.1,0)</f>
        <v>178</v>
      </c>
      <c r="EG16" s="666">
        <v>2.9</v>
      </c>
      <c r="EH16" s="546">
        <f>ROUND(40.43*2.1*2.9,0)</f>
        <v>246</v>
      </c>
      <c r="EI16" s="666">
        <v>3.6</v>
      </c>
      <c r="EJ16" s="546">
        <f>ROUND(40.43*2.1*3.6,0)</f>
        <v>306</v>
      </c>
      <c r="EK16" s="666">
        <v>3.8</v>
      </c>
      <c r="EL16" s="546">
        <f>ROUND(40.43*2.1*3.8,0)</f>
        <v>323</v>
      </c>
      <c r="EM16" s="666">
        <v>3.5</v>
      </c>
      <c r="EN16" s="546">
        <f>ROUND(40.43*2.1*3.5,0)</f>
        <v>297</v>
      </c>
      <c r="EO16" s="666">
        <v>3.1</v>
      </c>
      <c r="EP16" s="546">
        <f>ROUND(40.43*2.1*3.1,0)</f>
        <v>263</v>
      </c>
      <c r="EQ16" s="666">
        <v>2.7</v>
      </c>
      <c r="ER16" s="546">
        <f>ROUND(40.43*2.1*2.7,0)</f>
        <v>229</v>
      </c>
      <c r="ES16" s="666">
        <v>1.7</v>
      </c>
      <c r="ET16" s="546">
        <f>ROUND(40.43*2.1*1.7,0)</f>
        <v>144</v>
      </c>
      <c r="EU16" s="666">
        <v>0.69999999999999896</v>
      </c>
      <c r="EV16" s="546">
        <f>ROUND(40.43*2.1*0.699999999999999,0)</f>
        <v>59</v>
      </c>
      <c r="EW16" s="666">
        <v>0</v>
      </c>
      <c r="EX16" s="546">
        <f>ROUND(40.43*2.1*0,0)</f>
        <v>0</v>
      </c>
      <c r="EY16" s="666">
        <v>0</v>
      </c>
      <c r="EZ16" s="546">
        <f>ROUND(40.43*2.1*0,0)</f>
        <v>0</v>
      </c>
      <c r="FA16" s="666">
        <v>0</v>
      </c>
      <c r="FB16" s="546">
        <f>ROUND(40.43*2.1*0,0)</f>
        <v>0</v>
      </c>
      <c r="FC16" s="666">
        <v>0</v>
      </c>
      <c r="FD16" s="546">
        <f>ROUND(40.43*2.1*0,0)</f>
        <v>0</v>
      </c>
      <c r="FE16" s="666">
        <v>0</v>
      </c>
      <c r="FF16" s="546">
        <f>ROUND(40.43*2.1*0,0)</f>
        <v>0</v>
      </c>
      <c r="FG16" s="666">
        <v>0</v>
      </c>
      <c r="FH16" s="667">
        <f>ROUND(40.43*2.1*0,0)</f>
        <v>0</v>
      </c>
      <c r="FI16" s="550"/>
      <c r="FJ16" s="551"/>
      <c r="FK16" s="541" t="s">
        <v>229</v>
      </c>
      <c r="FL16" s="662" t="s">
        <v>77</v>
      </c>
      <c r="FM16" s="542">
        <v>40.43</v>
      </c>
      <c r="FN16" s="663" t="s">
        <v>325</v>
      </c>
      <c r="FO16" s="664"/>
      <c r="FP16" s="668">
        <v>9</v>
      </c>
      <c r="FQ16" s="669">
        <v>17</v>
      </c>
      <c r="FR16" s="546">
        <f>ROUND(40.43*2.1*17,0)</f>
        <v>1443</v>
      </c>
      <c r="FS16" s="670">
        <v>9</v>
      </c>
      <c r="FT16" s="669">
        <v>17.5</v>
      </c>
      <c r="FU16" s="554">
        <f>ROUND(40.43*2.1*17.5,0)</f>
        <v>1486</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77</v>
      </c>
      <c r="D17" s="570">
        <v>57.82</v>
      </c>
      <c r="E17" s="675">
        <v>0.9</v>
      </c>
      <c r="F17" s="676"/>
      <c r="G17" s="677">
        <v>0</v>
      </c>
      <c r="H17" s="574">
        <f>ROUND(57.82*0.9*0,0)</f>
        <v>0</v>
      </c>
      <c r="I17" s="678">
        <v>0</v>
      </c>
      <c r="J17" s="574">
        <f>ROUND(57.82*0.9*0,0)</f>
        <v>0</v>
      </c>
      <c r="K17" s="678">
        <v>0</v>
      </c>
      <c r="L17" s="574">
        <f>ROUND(57.82*0.9*0,0)</f>
        <v>0</v>
      </c>
      <c r="M17" s="678">
        <v>0</v>
      </c>
      <c r="N17" s="574">
        <f>ROUND(57.82*0.9*0,0)</f>
        <v>0</v>
      </c>
      <c r="O17" s="678">
        <v>0</v>
      </c>
      <c r="P17" s="574">
        <f>ROUND(57.82*0.9*0,0)</f>
        <v>0</v>
      </c>
      <c r="Q17" s="678">
        <v>0</v>
      </c>
      <c r="R17" s="574">
        <f>ROUND(57.82*0.9*0,0)</f>
        <v>0</v>
      </c>
      <c r="S17" s="678">
        <v>0</v>
      </c>
      <c r="T17" s="574">
        <f>ROUND(57.82*0.9*0,0)</f>
        <v>0</v>
      </c>
      <c r="U17" s="678">
        <v>0</v>
      </c>
      <c r="V17" s="574">
        <f>ROUND(57.82*0.9*0,0)</f>
        <v>0</v>
      </c>
      <c r="W17" s="678">
        <v>1.5</v>
      </c>
      <c r="X17" s="574">
        <f>ROUND(57.82*0.9*1.5,0)</f>
        <v>78</v>
      </c>
      <c r="Y17" s="678">
        <v>2.2999999999999998</v>
      </c>
      <c r="Z17" s="574">
        <f>ROUND(57.82*0.9*2.3,0)</f>
        <v>120</v>
      </c>
      <c r="AA17" s="678">
        <v>3.6</v>
      </c>
      <c r="AB17" s="574">
        <f>ROUND(57.82*0.9*3.6,0)</f>
        <v>187</v>
      </c>
      <c r="AC17" s="678">
        <v>5</v>
      </c>
      <c r="AD17" s="574">
        <f>ROUND(57.82*0.9*5,0)</f>
        <v>260</v>
      </c>
      <c r="AE17" s="678">
        <v>6.5</v>
      </c>
      <c r="AF17" s="574">
        <f>ROUND(57.82*0.9*6.5,0)</f>
        <v>338</v>
      </c>
      <c r="AG17" s="678">
        <v>7.8</v>
      </c>
      <c r="AH17" s="574">
        <f>ROUND(57.82*0.9*7.8,0)</f>
        <v>406</v>
      </c>
      <c r="AI17" s="678">
        <v>8.8000000000000007</v>
      </c>
      <c r="AJ17" s="574">
        <f>ROUND(57.82*0.9*8.8,0)</f>
        <v>458</v>
      </c>
      <c r="AK17" s="678">
        <v>9.3000000000000007</v>
      </c>
      <c r="AL17" s="574">
        <f>ROUND(57.82*0.9*9.3,0)</f>
        <v>484</v>
      </c>
      <c r="AM17" s="678">
        <v>9.3000000000000007</v>
      </c>
      <c r="AN17" s="574">
        <f>ROUND(57.82*0.9*9.3,0)</f>
        <v>484</v>
      </c>
      <c r="AO17" s="678">
        <v>9</v>
      </c>
      <c r="AP17" s="574">
        <f>ROUND(57.82*0.9*9,0)</f>
        <v>468</v>
      </c>
      <c r="AQ17" s="678">
        <v>0</v>
      </c>
      <c r="AR17" s="574">
        <f>ROUND(57.82*0.9*0,0)</f>
        <v>0</v>
      </c>
      <c r="AS17" s="678">
        <v>0</v>
      </c>
      <c r="AT17" s="574">
        <f>ROUND(57.82*0.9*0,0)</f>
        <v>0</v>
      </c>
      <c r="AU17" s="678">
        <v>0</v>
      </c>
      <c r="AV17" s="574">
        <f>ROUND(57.82*0.9*0,0)</f>
        <v>0</v>
      </c>
      <c r="AW17" s="678">
        <v>0</v>
      </c>
      <c r="AX17" s="574">
        <f>ROUND(57.82*0.9*0,0)</f>
        <v>0</v>
      </c>
      <c r="AY17" s="678">
        <v>0</v>
      </c>
      <c r="AZ17" s="574">
        <f>ROUND(57.82*0.9*0,0)</f>
        <v>0</v>
      </c>
      <c r="BA17" s="678">
        <v>0</v>
      </c>
      <c r="BB17" s="576">
        <f>ROUND(57.82*0.9*0,0)</f>
        <v>0</v>
      </c>
      <c r="BC17" s="549"/>
      <c r="BD17" s="539"/>
      <c r="BE17" s="569" t="s">
        <v>213</v>
      </c>
      <c r="BF17" s="674" t="s">
        <v>77</v>
      </c>
      <c r="BG17" s="570">
        <v>57.82</v>
      </c>
      <c r="BH17" s="675">
        <v>0.9</v>
      </c>
      <c r="BI17" s="676"/>
      <c r="BJ17" s="677">
        <v>0</v>
      </c>
      <c r="BK17" s="574">
        <f>ROUND(57.82*0.9*0,0)</f>
        <v>0</v>
      </c>
      <c r="BL17" s="678">
        <v>0</v>
      </c>
      <c r="BM17" s="574">
        <f>ROUND(57.82*0.9*0,0)</f>
        <v>0</v>
      </c>
      <c r="BN17" s="678">
        <v>0</v>
      </c>
      <c r="BO17" s="574">
        <f>ROUND(57.82*0.9*0,0)</f>
        <v>0</v>
      </c>
      <c r="BP17" s="678">
        <v>0</v>
      </c>
      <c r="BQ17" s="574">
        <f>ROUND(57.82*0.9*0,0)</f>
        <v>0</v>
      </c>
      <c r="BR17" s="678">
        <v>0</v>
      </c>
      <c r="BS17" s="574">
        <f>ROUND(57.82*0.9*0,0)</f>
        <v>0</v>
      </c>
      <c r="BT17" s="678">
        <v>0</v>
      </c>
      <c r="BU17" s="574">
        <f>ROUND(57.82*0.9*0,0)</f>
        <v>0</v>
      </c>
      <c r="BV17" s="678">
        <v>0</v>
      </c>
      <c r="BW17" s="574">
        <f>ROUND(57.82*0.9*0,0)</f>
        <v>0</v>
      </c>
      <c r="BX17" s="678">
        <v>0</v>
      </c>
      <c r="BY17" s="574">
        <f>ROUND(57.82*0.9*0,0)</f>
        <v>0</v>
      </c>
      <c r="BZ17" s="678">
        <v>0.9</v>
      </c>
      <c r="CA17" s="574">
        <f>ROUND(57.82*0.9*0.9,0)</f>
        <v>47</v>
      </c>
      <c r="CB17" s="678">
        <v>1.9</v>
      </c>
      <c r="CC17" s="574">
        <f>ROUND(57.82*0.9*1.9,0)</f>
        <v>99</v>
      </c>
      <c r="CD17" s="678">
        <v>3.4</v>
      </c>
      <c r="CE17" s="574">
        <f>ROUND(57.82*0.9*3.4,0)</f>
        <v>177</v>
      </c>
      <c r="CF17" s="678">
        <v>5.0999999999999996</v>
      </c>
      <c r="CG17" s="574">
        <f>ROUND(57.82*0.9*5.1,0)</f>
        <v>265</v>
      </c>
      <c r="CH17" s="678">
        <v>6.8</v>
      </c>
      <c r="CI17" s="574">
        <f>ROUND(57.82*0.9*6.8,0)</f>
        <v>354</v>
      </c>
      <c r="CJ17" s="678">
        <v>8.1999999999999993</v>
      </c>
      <c r="CK17" s="574">
        <f>ROUND(57.82*0.9*8.2,0)</f>
        <v>427</v>
      </c>
      <c r="CL17" s="678">
        <v>9.1999999999999993</v>
      </c>
      <c r="CM17" s="574">
        <f>ROUND(57.82*0.9*9.2,0)</f>
        <v>479</v>
      </c>
      <c r="CN17" s="678">
        <v>9.6</v>
      </c>
      <c r="CO17" s="574">
        <f>ROUND(57.82*0.9*9.6,0)</f>
        <v>500</v>
      </c>
      <c r="CP17" s="678">
        <v>9.5</v>
      </c>
      <c r="CQ17" s="574">
        <f>ROUND(57.82*0.9*9.5,0)</f>
        <v>494</v>
      </c>
      <c r="CR17" s="678">
        <v>9</v>
      </c>
      <c r="CS17" s="574">
        <f>ROUND(57.82*0.9*9,0)</f>
        <v>468</v>
      </c>
      <c r="CT17" s="678">
        <v>0</v>
      </c>
      <c r="CU17" s="574">
        <f>ROUND(57.82*0.9*0,0)</f>
        <v>0</v>
      </c>
      <c r="CV17" s="678">
        <v>0</v>
      </c>
      <c r="CW17" s="574">
        <f>ROUND(57.82*0.9*0,0)</f>
        <v>0</v>
      </c>
      <c r="CX17" s="678">
        <v>0</v>
      </c>
      <c r="CY17" s="574">
        <f>ROUND(57.82*0.9*0,0)</f>
        <v>0</v>
      </c>
      <c r="CZ17" s="678">
        <v>0</v>
      </c>
      <c r="DA17" s="574">
        <f>ROUND(57.82*0.9*0,0)</f>
        <v>0</v>
      </c>
      <c r="DB17" s="678">
        <v>0</v>
      </c>
      <c r="DC17" s="574">
        <f>ROUND(57.82*0.9*0,0)</f>
        <v>0</v>
      </c>
      <c r="DD17" s="678">
        <v>0</v>
      </c>
      <c r="DE17" s="576">
        <f>ROUND(57.82*0.9*0,0)</f>
        <v>0</v>
      </c>
      <c r="DF17" s="549"/>
      <c r="DG17" s="539"/>
      <c r="DH17" s="569" t="s">
        <v>213</v>
      </c>
      <c r="DI17" s="674" t="s">
        <v>77</v>
      </c>
      <c r="DJ17" s="570">
        <v>57.82</v>
      </c>
      <c r="DK17" s="675">
        <v>0.9</v>
      </c>
      <c r="DL17" s="676"/>
      <c r="DM17" s="677">
        <v>0</v>
      </c>
      <c r="DN17" s="574">
        <f>ROUND(57.82*0.9*0,0)</f>
        <v>0</v>
      </c>
      <c r="DO17" s="678">
        <v>0</v>
      </c>
      <c r="DP17" s="574">
        <f>ROUND(57.82*0.9*0,0)</f>
        <v>0</v>
      </c>
      <c r="DQ17" s="678">
        <v>0</v>
      </c>
      <c r="DR17" s="574">
        <f>ROUND(57.82*0.9*0,0)</f>
        <v>0</v>
      </c>
      <c r="DS17" s="678">
        <v>0</v>
      </c>
      <c r="DT17" s="574">
        <f>ROUND(57.82*0.9*0,0)</f>
        <v>0</v>
      </c>
      <c r="DU17" s="678">
        <v>0</v>
      </c>
      <c r="DV17" s="574">
        <f>ROUND(57.82*0.9*0,0)</f>
        <v>0</v>
      </c>
      <c r="DW17" s="678">
        <v>0</v>
      </c>
      <c r="DX17" s="574">
        <f>ROUND(57.82*0.9*0,0)</f>
        <v>0</v>
      </c>
      <c r="DY17" s="678">
        <v>0</v>
      </c>
      <c r="DZ17" s="574">
        <f>ROUND(57.82*0.9*0,0)</f>
        <v>0</v>
      </c>
      <c r="EA17" s="678">
        <v>0</v>
      </c>
      <c r="EB17" s="574">
        <f>ROUND(57.82*0.9*0,0)</f>
        <v>0</v>
      </c>
      <c r="EC17" s="678">
        <v>0</v>
      </c>
      <c r="ED17" s="574">
        <f>ROUND(57.82*0.9*0,0)</f>
        <v>0</v>
      </c>
      <c r="EE17" s="678">
        <v>1.4</v>
      </c>
      <c r="EF17" s="574">
        <f>ROUND(57.82*0.9*1.4,0)</f>
        <v>73</v>
      </c>
      <c r="EG17" s="678">
        <v>3.4</v>
      </c>
      <c r="EH17" s="574">
        <f>ROUND(57.82*0.9*3.4,0)</f>
        <v>177</v>
      </c>
      <c r="EI17" s="678">
        <v>5.7</v>
      </c>
      <c r="EJ17" s="574">
        <f>ROUND(57.82*0.9*5.7,0)</f>
        <v>297</v>
      </c>
      <c r="EK17" s="678">
        <v>8</v>
      </c>
      <c r="EL17" s="574">
        <f>ROUND(57.82*0.9*8,0)</f>
        <v>416</v>
      </c>
      <c r="EM17" s="678">
        <v>9.8000000000000007</v>
      </c>
      <c r="EN17" s="574">
        <f>ROUND(57.82*0.9*9.8,0)</f>
        <v>510</v>
      </c>
      <c r="EO17" s="678">
        <v>11.1</v>
      </c>
      <c r="EP17" s="574">
        <f>ROUND(57.82*0.9*11.1,0)</f>
        <v>578</v>
      </c>
      <c r="EQ17" s="678">
        <v>11.6</v>
      </c>
      <c r="ER17" s="574">
        <f>ROUND(57.82*0.9*11.6,0)</f>
        <v>604</v>
      </c>
      <c r="ES17" s="678">
        <v>11.3</v>
      </c>
      <c r="ET17" s="574">
        <f>ROUND(57.82*0.9*11.3,0)</f>
        <v>588</v>
      </c>
      <c r="EU17" s="678">
        <v>10.4</v>
      </c>
      <c r="EV17" s="574">
        <f>ROUND(57.82*0.9*10.4,0)</f>
        <v>541</v>
      </c>
      <c r="EW17" s="678">
        <v>0</v>
      </c>
      <c r="EX17" s="574">
        <f>ROUND(57.82*0.9*0,0)</f>
        <v>0</v>
      </c>
      <c r="EY17" s="678">
        <v>0</v>
      </c>
      <c r="EZ17" s="574">
        <f>ROUND(57.82*0.9*0,0)</f>
        <v>0</v>
      </c>
      <c r="FA17" s="678">
        <v>0</v>
      </c>
      <c r="FB17" s="574">
        <f>ROUND(57.82*0.9*0,0)</f>
        <v>0</v>
      </c>
      <c r="FC17" s="678">
        <v>0</v>
      </c>
      <c r="FD17" s="574">
        <f>ROUND(57.82*0.9*0,0)</f>
        <v>0</v>
      </c>
      <c r="FE17" s="678">
        <v>0</v>
      </c>
      <c r="FF17" s="574">
        <f>ROUND(57.82*0.9*0,0)</f>
        <v>0</v>
      </c>
      <c r="FG17" s="678">
        <v>0</v>
      </c>
      <c r="FH17" s="576">
        <f>ROUND(57.82*0.9*0,0)</f>
        <v>0</v>
      </c>
      <c r="FI17" s="550"/>
      <c r="FJ17" s="551"/>
      <c r="FK17" s="569" t="s">
        <v>213</v>
      </c>
      <c r="FL17" s="674" t="s">
        <v>77</v>
      </c>
      <c r="FM17" s="570">
        <v>57.82</v>
      </c>
      <c r="FN17" s="675">
        <v>0.9</v>
      </c>
      <c r="FO17" s="676"/>
      <c r="FP17" s="679">
        <v>9</v>
      </c>
      <c r="FQ17" s="680">
        <v>17</v>
      </c>
      <c r="FR17" s="574">
        <f>ROUND(57.82*0.9*17,0)</f>
        <v>885</v>
      </c>
      <c r="FS17" s="681">
        <v>9</v>
      </c>
      <c r="FT17" s="680">
        <v>17.5</v>
      </c>
      <c r="FU17" s="579">
        <f>ROUND(57.82*0.9*17.5,0)</f>
        <v>911</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t="s">
        <v>236</v>
      </c>
      <c r="C18" s="674"/>
      <c r="D18" s="570">
        <v>70.739999999999995</v>
      </c>
      <c r="E18" s="675">
        <v>2.9</v>
      </c>
      <c r="F18" s="676"/>
      <c r="G18" s="677">
        <v>0</v>
      </c>
      <c r="H18" s="574">
        <f>ROUND(70.74*2.9*0,0)</f>
        <v>0</v>
      </c>
      <c r="I18" s="678">
        <v>0</v>
      </c>
      <c r="J18" s="574">
        <f>ROUND(70.74*2.9*0,0)</f>
        <v>0</v>
      </c>
      <c r="K18" s="678">
        <v>0</v>
      </c>
      <c r="L18" s="574">
        <f>ROUND(70.74*2.9*0,0)</f>
        <v>0</v>
      </c>
      <c r="M18" s="678">
        <v>0</v>
      </c>
      <c r="N18" s="574">
        <f>ROUND(70.74*2.9*0,0)</f>
        <v>0</v>
      </c>
      <c r="O18" s="678">
        <v>0</v>
      </c>
      <c r="P18" s="574">
        <f>ROUND(70.74*2.9*0,0)</f>
        <v>0</v>
      </c>
      <c r="Q18" s="678">
        <v>0</v>
      </c>
      <c r="R18" s="574">
        <f>ROUND(70.74*2.9*0,0)</f>
        <v>0</v>
      </c>
      <c r="S18" s="678">
        <v>0</v>
      </c>
      <c r="T18" s="574">
        <f>ROUND(70.74*2.9*0,0)</f>
        <v>0</v>
      </c>
      <c r="U18" s="678">
        <v>0</v>
      </c>
      <c r="V18" s="574">
        <f>ROUND(70.74*2.9*0,0)</f>
        <v>0</v>
      </c>
      <c r="W18" s="678">
        <v>1</v>
      </c>
      <c r="X18" s="574">
        <f>ROUND(70.74*2.9*1,0)</f>
        <v>205</v>
      </c>
      <c r="Y18" s="678">
        <v>1.3</v>
      </c>
      <c r="Z18" s="574">
        <f>ROUND(70.74*2.9*1.3,0)</f>
        <v>267</v>
      </c>
      <c r="AA18" s="678">
        <v>1.6</v>
      </c>
      <c r="AB18" s="574">
        <f>ROUND(70.74*2.9*1.6,0)</f>
        <v>328</v>
      </c>
      <c r="AC18" s="678">
        <v>1.7</v>
      </c>
      <c r="AD18" s="574">
        <f>ROUND(70.74*2.9*1.7,0)</f>
        <v>349</v>
      </c>
      <c r="AE18" s="678">
        <v>1.8</v>
      </c>
      <c r="AF18" s="574">
        <f>ROUND(70.74*2.9*1.8,0)</f>
        <v>369</v>
      </c>
      <c r="AG18" s="678">
        <v>1.8</v>
      </c>
      <c r="AH18" s="574">
        <f>ROUND(70.74*2.9*1.8,0)</f>
        <v>369</v>
      </c>
      <c r="AI18" s="678">
        <v>1.6</v>
      </c>
      <c r="AJ18" s="574">
        <f>ROUND(70.74*2.9*1.6,0)</f>
        <v>328</v>
      </c>
      <c r="AK18" s="678">
        <v>1.5</v>
      </c>
      <c r="AL18" s="574">
        <f>ROUND(70.74*2.9*1.5,0)</f>
        <v>308</v>
      </c>
      <c r="AM18" s="678">
        <v>1.2</v>
      </c>
      <c r="AN18" s="574">
        <f>ROUND(70.74*2.9*1.2,0)</f>
        <v>246</v>
      </c>
      <c r="AO18" s="678">
        <v>1</v>
      </c>
      <c r="AP18" s="574">
        <f>ROUND(70.74*2.9*1,0)</f>
        <v>205</v>
      </c>
      <c r="AQ18" s="678">
        <v>0</v>
      </c>
      <c r="AR18" s="574">
        <f>ROUND(70.74*2.9*0,0)</f>
        <v>0</v>
      </c>
      <c r="AS18" s="678">
        <v>0</v>
      </c>
      <c r="AT18" s="574">
        <f>ROUND(70.74*2.9*0,0)</f>
        <v>0</v>
      </c>
      <c r="AU18" s="678">
        <v>0</v>
      </c>
      <c r="AV18" s="574">
        <f>ROUND(70.74*2.9*0,0)</f>
        <v>0</v>
      </c>
      <c r="AW18" s="678">
        <v>0</v>
      </c>
      <c r="AX18" s="574">
        <f>ROUND(70.74*2.9*0,0)</f>
        <v>0</v>
      </c>
      <c r="AY18" s="678">
        <v>0</v>
      </c>
      <c r="AZ18" s="574">
        <f>ROUND(70.74*2.9*0,0)</f>
        <v>0</v>
      </c>
      <c r="BA18" s="678">
        <v>0</v>
      </c>
      <c r="BB18" s="576">
        <f>ROUND(70.74*2.9*0,0)</f>
        <v>0</v>
      </c>
      <c r="BC18" s="549"/>
      <c r="BD18" s="539"/>
      <c r="BE18" s="683" t="s">
        <v>236</v>
      </c>
      <c r="BF18" s="674"/>
      <c r="BG18" s="570">
        <v>70.739999999999995</v>
      </c>
      <c r="BH18" s="675">
        <v>2.9</v>
      </c>
      <c r="BI18" s="676"/>
      <c r="BJ18" s="677">
        <v>0</v>
      </c>
      <c r="BK18" s="574">
        <f>ROUND(70.74*2.9*0,0)</f>
        <v>0</v>
      </c>
      <c r="BL18" s="678">
        <v>0</v>
      </c>
      <c r="BM18" s="574">
        <f>ROUND(70.74*2.9*0,0)</f>
        <v>0</v>
      </c>
      <c r="BN18" s="678">
        <v>0</v>
      </c>
      <c r="BO18" s="574">
        <f>ROUND(70.74*2.9*0,0)</f>
        <v>0</v>
      </c>
      <c r="BP18" s="678">
        <v>0</v>
      </c>
      <c r="BQ18" s="574">
        <f>ROUND(70.74*2.9*0,0)</f>
        <v>0</v>
      </c>
      <c r="BR18" s="678">
        <v>0</v>
      </c>
      <c r="BS18" s="574">
        <f>ROUND(70.74*2.9*0,0)</f>
        <v>0</v>
      </c>
      <c r="BT18" s="678">
        <v>0</v>
      </c>
      <c r="BU18" s="574">
        <f>ROUND(70.74*2.9*0,0)</f>
        <v>0</v>
      </c>
      <c r="BV18" s="678">
        <v>0</v>
      </c>
      <c r="BW18" s="574">
        <f>ROUND(70.74*2.9*0,0)</f>
        <v>0</v>
      </c>
      <c r="BX18" s="678">
        <v>0</v>
      </c>
      <c r="BY18" s="574">
        <f>ROUND(70.74*2.9*0,0)</f>
        <v>0</v>
      </c>
      <c r="BZ18" s="678">
        <v>0.9</v>
      </c>
      <c r="CA18" s="574">
        <f>ROUND(70.74*2.9*0.9,0)</f>
        <v>185</v>
      </c>
      <c r="CB18" s="678">
        <v>1.2</v>
      </c>
      <c r="CC18" s="574">
        <f>ROUND(70.74*2.9*1.2,0)</f>
        <v>246</v>
      </c>
      <c r="CD18" s="678">
        <v>1.5</v>
      </c>
      <c r="CE18" s="574">
        <f>ROUND(70.74*2.9*1.5,0)</f>
        <v>308</v>
      </c>
      <c r="CF18" s="678">
        <v>1.6</v>
      </c>
      <c r="CG18" s="574">
        <f>ROUND(70.74*2.9*1.6,0)</f>
        <v>328</v>
      </c>
      <c r="CH18" s="678">
        <v>1.7</v>
      </c>
      <c r="CI18" s="574">
        <f>ROUND(70.74*2.9*1.7,0)</f>
        <v>349</v>
      </c>
      <c r="CJ18" s="678">
        <v>1.6</v>
      </c>
      <c r="CK18" s="574">
        <f>ROUND(70.74*2.9*1.6,0)</f>
        <v>328</v>
      </c>
      <c r="CL18" s="678">
        <v>1.5</v>
      </c>
      <c r="CM18" s="574">
        <f>ROUND(70.74*2.9*1.5,0)</f>
        <v>308</v>
      </c>
      <c r="CN18" s="678">
        <v>1.3</v>
      </c>
      <c r="CO18" s="574">
        <f>ROUND(70.74*2.9*1.3,0)</f>
        <v>267</v>
      </c>
      <c r="CP18" s="678">
        <v>1.2</v>
      </c>
      <c r="CQ18" s="574">
        <f>ROUND(70.74*2.9*1.2,0)</f>
        <v>246</v>
      </c>
      <c r="CR18" s="678">
        <v>0.9</v>
      </c>
      <c r="CS18" s="574">
        <f>ROUND(70.74*2.9*0.9,0)</f>
        <v>185</v>
      </c>
      <c r="CT18" s="678">
        <v>0</v>
      </c>
      <c r="CU18" s="574">
        <f>ROUND(70.74*2.9*0,0)</f>
        <v>0</v>
      </c>
      <c r="CV18" s="678">
        <v>0</v>
      </c>
      <c r="CW18" s="574">
        <f>ROUND(70.74*2.9*0,0)</f>
        <v>0</v>
      </c>
      <c r="CX18" s="678">
        <v>0</v>
      </c>
      <c r="CY18" s="574">
        <f>ROUND(70.74*2.9*0,0)</f>
        <v>0</v>
      </c>
      <c r="CZ18" s="678">
        <v>0</v>
      </c>
      <c r="DA18" s="574">
        <f>ROUND(70.74*2.9*0,0)</f>
        <v>0</v>
      </c>
      <c r="DB18" s="678">
        <v>0</v>
      </c>
      <c r="DC18" s="574">
        <f>ROUND(70.74*2.9*0,0)</f>
        <v>0</v>
      </c>
      <c r="DD18" s="678">
        <v>0</v>
      </c>
      <c r="DE18" s="576">
        <f>ROUND(70.74*2.9*0,0)</f>
        <v>0</v>
      </c>
      <c r="DF18" s="549"/>
      <c r="DG18" s="539"/>
      <c r="DH18" s="683" t="s">
        <v>236</v>
      </c>
      <c r="DI18" s="674"/>
      <c r="DJ18" s="570">
        <v>70.739999999999995</v>
      </c>
      <c r="DK18" s="675">
        <v>2.9</v>
      </c>
      <c r="DL18" s="676"/>
      <c r="DM18" s="677">
        <v>0</v>
      </c>
      <c r="DN18" s="574">
        <f>ROUND(70.74*2.9*0,0)</f>
        <v>0</v>
      </c>
      <c r="DO18" s="678">
        <v>0</v>
      </c>
      <c r="DP18" s="574">
        <f>ROUND(70.74*2.9*0,0)</f>
        <v>0</v>
      </c>
      <c r="DQ18" s="678">
        <v>0</v>
      </c>
      <c r="DR18" s="574">
        <f>ROUND(70.74*2.9*0,0)</f>
        <v>0</v>
      </c>
      <c r="DS18" s="678">
        <v>0</v>
      </c>
      <c r="DT18" s="574">
        <f>ROUND(70.74*2.9*0,0)</f>
        <v>0</v>
      </c>
      <c r="DU18" s="678">
        <v>0</v>
      </c>
      <c r="DV18" s="574">
        <f>ROUND(70.74*2.9*0,0)</f>
        <v>0</v>
      </c>
      <c r="DW18" s="678">
        <v>0</v>
      </c>
      <c r="DX18" s="574">
        <f>ROUND(70.74*2.9*0,0)</f>
        <v>0</v>
      </c>
      <c r="DY18" s="678">
        <v>0</v>
      </c>
      <c r="DZ18" s="574">
        <f>ROUND(70.74*2.9*0,0)</f>
        <v>0</v>
      </c>
      <c r="EA18" s="678">
        <v>0</v>
      </c>
      <c r="EB18" s="574">
        <f>ROUND(70.74*2.9*0,0)</f>
        <v>0</v>
      </c>
      <c r="EC18" s="678">
        <v>0.2</v>
      </c>
      <c r="ED18" s="574">
        <f>ROUND(70.74*2.9*0.2,0)</f>
        <v>41</v>
      </c>
      <c r="EE18" s="678">
        <v>0.6</v>
      </c>
      <c r="EF18" s="574">
        <f>ROUND(70.74*2.9*0.6,0)</f>
        <v>123</v>
      </c>
      <c r="EG18" s="678">
        <v>0.9</v>
      </c>
      <c r="EH18" s="574">
        <f>ROUND(70.74*2.9*0.9,0)</f>
        <v>185</v>
      </c>
      <c r="EI18" s="678">
        <v>1.1000000000000001</v>
      </c>
      <c r="EJ18" s="574">
        <f>ROUND(70.74*2.9*1.1,0)</f>
        <v>226</v>
      </c>
      <c r="EK18" s="678">
        <v>1.1000000000000001</v>
      </c>
      <c r="EL18" s="574">
        <f>ROUND(70.74*2.9*1.1,0)</f>
        <v>226</v>
      </c>
      <c r="EM18" s="678">
        <v>1</v>
      </c>
      <c r="EN18" s="574">
        <f>ROUND(70.74*2.9*1,0)</f>
        <v>205</v>
      </c>
      <c r="EO18" s="678">
        <v>0.9</v>
      </c>
      <c r="EP18" s="574">
        <f>ROUND(70.74*2.9*0.9,0)</f>
        <v>185</v>
      </c>
      <c r="EQ18" s="678">
        <v>0.8</v>
      </c>
      <c r="ER18" s="574">
        <f>ROUND(70.74*2.9*0.8,0)</f>
        <v>164</v>
      </c>
      <c r="ES18" s="678">
        <v>0.5</v>
      </c>
      <c r="ET18" s="574">
        <f>ROUND(70.74*2.9*0.5,0)</f>
        <v>103</v>
      </c>
      <c r="EU18" s="678">
        <v>0.2</v>
      </c>
      <c r="EV18" s="574">
        <f>ROUND(70.74*2.9*0.2,0)</f>
        <v>41</v>
      </c>
      <c r="EW18" s="678">
        <v>0</v>
      </c>
      <c r="EX18" s="574">
        <f>ROUND(70.74*2.9*0,0)</f>
        <v>0</v>
      </c>
      <c r="EY18" s="678">
        <v>0</v>
      </c>
      <c r="EZ18" s="574">
        <f>ROUND(70.74*2.9*0,0)</f>
        <v>0</v>
      </c>
      <c r="FA18" s="678">
        <v>0</v>
      </c>
      <c r="FB18" s="574">
        <f>ROUND(70.74*2.9*0,0)</f>
        <v>0</v>
      </c>
      <c r="FC18" s="678">
        <v>0</v>
      </c>
      <c r="FD18" s="574">
        <f>ROUND(70.74*2.9*0,0)</f>
        <v>0</v>
      </c>
      <c r="FE18" s="678">
        <v>0</v>
      </c>
      <c r="FF18" s="574">
        <f>ROUND(70.74*2.9*0,0)</f>
        <v>0</v>
      </c>
      <c r="FG18" s="678">
        <v>0</v>
      </c>
      <c r="FH18" s="576">
        <f>ROUND(70.74*2.9*0,0)</f>
        <v>0</v>
      </c>
      <c r="FI18" s="550"/>
      <c r="FJ18" s="551"/>
      <c r="FK18" s="683" t="s">
        <v>236</v>
      </c>
      <c r="FL18" s="674"/>
      <c r="FM18" s="570">
        <v>70.739999999999995</v>
      </c>
      <c r="FN18" s="675">
        <v>2.9</v>
      </c>
      <c r="FO18" s="676"/>
      <c r="FP18" s="679">
        <v>9</v>
      </c>
      <c r="FQ18" s="680">
        <v>5.0999999999999996</v>
      </c>
      <c r="FR18" s="574">
        <f>ROUND(70.74*2.9*5.1,0)</f>
        <v>1046</v>
      </c>
      <c r="FS18" s="681">
        <v>9</v>
      </c>
      <c r="FT18" s="680">
        <v>5.2</v>
      </c>
      <c r="FU18" s="579">
        <f>ROUND(70.74*2.9*5.2,0)</f>
        <v>1067</v>
      </c>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c r="C19" s="674"/>
      <c r="D19" s="570"/>
      <c r="E19" s="675"/>
      <c r="F19" s="676"/>
      <c r="G19" s="677"/>
      <c r="H19" s="574"/>
      <c r="I19" s="678"/>
      <c r="J19" s="574"/>
      <c r="K19" s="678"/>
      <c r="L19" s="574"/>
      <c r="M19" s="678"/>
      <c r="N19" s="574"/>
      <c r="O19" s="678"/>
      <c r="P19" s="574"/>
      <c r="Q19" s="678"/>
      <c r="R19" s="574"/>
      <c r="S19" s="678"/>
      <c r="T19" s="574"/>
      <c r="U19" s="678"/>
      <c r="V19" s="574"/>
      <c r="W19" s="678"/>
      <c r="X19" s="574"/>
      <c r="Y19" s="678"/>
      <c r="Z19" s="574"/>
      <c r="AA19" s="678"/>
      <c r="AB19" s="574"/>
      <c r="AC19" s="678"/>
      <c r="AD19" s="574"/>
      <c r="AE19" s="678"/>
      <c r="AF19" s="574"/>
      <c r="AG19" s="678"/>
      <c r="AH19" s="574"/>
      <c r="AI19" s="678"/>
      <c r="AJ19" s="574"/>
      <c r="AK19" s="678"/>
      <c r="AL19" s="574"/>
      <c r="AM19" s="678"/>
      <c r="AN19" s="574"/>
      <c r="AO19" s="678"/>
      <c r="AP19" s="574"/>
      <c r="AQ19" s="678"/>
      <c r="AR19" s="574"/>
      <c r="AS19" s="678"/>
      <c r="AT19" s="574"/>
      <c r="AU19" s="678"/>
      <c r="AV19" s="574"/>
      <c r="AW19" s="678"/>
      <c r="AX19" s="574"/>
      <c r="AY19" s="678"/>
      <c r="AZ19" s="574"/>
      <c r="BA19" s="678"/>
      <c r="BB19" s="576"/>
      <c r="BC19" s="549"/>
      <c r="BD19" s="539"/>
      <c r="BE19" s="683"/>
      <c r="BF19" s="674"/>
      <c r="BG19" s="570"/>
      <c r="BH19" s="675"/>
      <c r="BI19" s="676"/>
      <c r="BJ19" s="677"/>
      <c r="BK19" s="574"/>
      <c r="BL19" s="678"/>
      <c r="BM19" s="574"/>
      <c r="BN19" s="678"/>
      <c r="BO19" s="574"/>
      <c r="BP19" s="678"/>
      <c r="BQ19" s="574"/>
      <c r="BR19" s="678"/>
      <c r="BS19" s="574"/>
      <c r="BT19" s="678"/>
      <c r="BU19" s="574"/>
      <c r="BV19" s="678"/>
      <c r="BW19" s="574"/>
      <c r="BX19" s="678"/>
      <c r="BY19" s="574"/>
      <c r="BZ19" s="678"/>
      <c r="CA19" s="574"/>
      <c r="CB19" s="678"/>
      <c r="CC19" s="574"/>
      <c r="CD19" s="678"/>
      <c r="CE19" s="574"/>
      <c r="CF19" s="678"/>
      <c r="CG19" s="574"/>
      <c r="CH19" s="678"/>
      <c r="CI19" s="574"/>
      <c r="CJ19" s="678"/>
      <c r="CK19" s="574"/>
      <c r="CL19" s="678"/>
      <c r="CM19" s="574"/>
      <c r="CN19" s="678"/>
      <c r="CO19" s="574"/>
      <c r="CP19" s="678"/>
      <c r="CQ19" s="574"/>
      <c r="CR19" s="678"/>
      <c r="CS19" s="574"/>
      <c r="CT19" s="678"/>
      <c r="CU19" s="574"/>
      <c r="CV19" s="678"/>
      <c r="CW19" s="574"/>
      <c r="CX19" s="678"/>
      <c r="CY19" s="574"/>
      <c r="CZ19" s="678"/>
      <c r="DA19" s="574"/>
      <c r="DB19" s="678"/>
      <c r="DC19" s="574"/>
      <c r="DD19" s="678"/>
      <c r="DE19" s="576"/>
      <c r="DF19" s="549"/>
      <c r="DG19" s="539"/>
      <c r="DH19" s="683"/>
      <c r="DI19" s="674"/>
      <c r="DJ19" s="570"/>
      <c r="DK19" s="675"/>
      <c r="DL19" s="676"/>
      <c r="DM19" s="677"/>
      <c r="DN19" s="574"/>
      <c r="DO19" s="678"/>
      <c r="DP19" s="574"/>
      <c r="DQ19" s="678"/>
      <c r="DR19" s="574"/>
      <c r="DS19" s="678"/>
      <c r="DT19" s="574"/>
      <c r="DU19" s="678"/>
      <c r="DV19" s="574"/>
      <c r="DW19" s="678"/>
      <c r="DX19" s="574"/>
      <c r="DY19" s="678"/>
      <c r="DZ19" s="574"/>
      <c r="EA19" s="678"/>
      <c r="EB19" s="574"/>
      <c r="EC19" s="678"/>
      <c r="ED19" s="574"/>
      <c r="EE19" s="678"/>
      <c r="EF19" s="574"/>
      <c r="EG19" s="678"/>
      <c r="EH19" s="574"/>
      <c r="EI19" s="678"/>
      <c r="EJ19" s="574"/>
      <c r="EK19" s="678"/>
      <c r="EL19" s="574"/>
      <c r="EM19" s="678"/>
      <c r="EN19" s="574"/>
      <c r="EO19" s="678"/>
      <c r="EP19" s="574"/>
      <c r="EQ19" s="678"/>
      <c r="ER19" s="574"/>
      <c r="ES19" s="678"/>
      <c r="ET19" s="574"/>
      <c r="EU19" s="678"/>
      <c r="EV19" s="574"/>
      <c r="EW19" s="678"/>
      <c r="EX19" s="574"/>
      <c r="EY19" s="678"/>
      <c r="EZ19" s="574"/>
      <c r="FA19" s="678"/>
      <c r="FB19" s="574"/>
      <c r="FC19" s="678"/>
      <c r="FD19" s="574"/>
      <c r="FE19" s="678"/>
      <c r="FF19" s="574"/>
      <c r="FG19" s="678"/>
      <c r="FH19" s="576"/>
      <c r="FI19" s="550"/>
      <c r="FJ19" s="551"/>
      <c r="FK19" s="683"/>
      <c r="FL19" s="674"/>
      <c r="FM19" s="570"/>
      <c r="FN19" s="675"/>
      <c r="FO19" s="676"/>
      <c r="FP19" s="679"/>
      <c r="FQ19" s="680"/>
      <c r="FR19" s="574"/>
      <c r="FS19" s="681"/>
      <c r="FT19" s="680"/>
      <c r="FU19" s="579"/>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40.43</v>
      </c>
      <c r="GO21" s="687"/>
      <c r="GP21" s="688"/>
      <c r="GQ21" s="620">
        <v>0</v>
      </c>
      <c r="GR21" s="621">
        <v>40.43</v>
      </c>
      <c r="GS21" s="565"/>
      <c r="GT21" s="660"/>
      <c r="GU21" s="684" t="s">
        <v>433</v>
      </c>
      <c r="GV21" s="685"/>
      <c r="GW21" s="686"/>
      <c r="GX21" s="689">
        <v>40.43</v>
      </c>
      <c r="GY21" s="690"/>
      <c r="GZ21" s="687"/>
      <c r="HA21" s="691">
        <v>26.28</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0.65</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196.5</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0.21</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505</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563</v>
      </c>
      <c r="Y26" s="1271"/>
      <c r="Z26" s="1264">
        <f>SUM(Z16:Z25)</f>
        <v>769</v>
      </c>
      <c r="AA26" s="1271"/>
      <c r="AB26" s="1264">
        <f>SUM(AB16:AB25)</f>
        <v>956</v>
      </c>
      <c r="AC26" s="1271"/>
      <c r="AD26" s="1264">
        <f>SUM(AD16:AD25)</f>
        <v>1093</v>
      </c>
      <c r="AE26" s="1271"/>
      <c r="AF26" s="1264">
        <f>SUM(AF16:AF25)</f>
        <v>1208</v>
      </c>
      <c r="AG26" s="1271"/>
      <c r="AH26" s="1264">
        <f>SUM(AH16:AH25)</f>
        <v>1276</v>
      </c>
      <c r="AI26" s="1271"/>
      <c r="AJ26" s="1264">
        <f>SUM(AJ16:AJ25)</f>
        <v>1244</v>
      </c>
      <c r="AK26" s="1271"/>
      <c r="AL26" s="1264">
        <f>SUM(AL16:AL25)</f>
        <v>1208</v>
      </c>
      <c r="AM26" s="1271"/>
      <c r="AN26" s="1264">
        <f>SUM(AN16:AN25)</f>
        <v>1070</v>
      </c>
      <c r="AO26" s="1271"/>
      <c r="AP26" s="1264">
        <f>SUM(AP16:AP25)</f>
        <v>953</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506</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495</v>
      </c>
      <c r="CB26" s="1271"/>
      <c r="CC26" s="1264">
        <f>SUM(CC16:CC25)</f>
        <v>693</v>
      </c>
      <c r="CD26" s="1271"/>
      <c r="CE26" s="1264">
        <f>SUM(CE16:CE25)</f>
        <v>910</v>
      </c>
      <c r="CF26" s="1271"/>
      <c r="CG26" s="1264">
        <f>SUM(CG16:CG25)</f>
        <v>1051</v>
      </c>
      <c r="CH26" s="1271"/>
      <c r="CI26" s="1264">
        <f>SUM(CI16:CI25)</f>
        <v>1178</v>
      </c>
      <c r="CJ26" s="1271"/>
      <c r="CK26" s="1264">
        <f>SUM(CK16:CK25)</f>
        <v>1213</v>
      </c>
      <c r="CL26" s="1271"/>
      <c r="CM26" s="1264">
        <f>SUM(CM16:CM25)</f>
        <v>1203</v>
      </c>
      <c r="CN26" s="1271"/>
      <c r="CO26" s="1264">
        <f>SUM(CO16:CO25)</f>
        <v>1149</v>
      </c>
      <c r="CP26" s="1271"/>
      <c r="CQ26" s="1264">
        <f>SUM(CQ16:CQ25)</f>
        <v>1080</v>
      </c>
      <c r="CR26" s="1271"/>
      <c r="CS26" s="1264">
        <f>SUM(CS16:CS25)</f>
        <v>916</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506</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109</v>
      </c>
      <c r="EE26" s="1271"/>
      <c r="EF26" s="1264">
        <f>SUM(EF16:EF25)</f>
        <v>374</v>
      </c>
      <c r="EG26" s="1271"/>
      <c r="EH26" s="1264">
        <f>SUM(EH16:EH25)</f>
        <v>608</v>
      </c>
      <c r="EI26" s="1271"/>
      <c r="EJ26" s="1264">
        <f>SUM(EJ16:EJ25)</f>
        <v>829</v>
      </c>
      <c r="EK26" s="1271"/>
      <c r="EL26" s="1264">
        <f>SUM(EL16:EL25)</f>
        <v>965</v>
      </c>
      <c r="EM26" s="1271"/>
      <c r="EN26" s="1264">
        <f>SUM(EN16:EN25)</f>
        <v>1012</v>
      </c>
      <c r="EO26" s="1271"/>
      <c r="EP26" s="1264">
        <f>SUM(EP16:EP25)</f>
        <v>1026</v>
      </c>
      <c r="EQ26" s="1271"/>
      <c r="ER26" s="1264">
        <f>SUM(ER16:ER25)</f>
        <v>997</v>
      </c>
      <c r="ES26" s="1271"/>
      <c r="ET26" s="1264">
        <f>SUM(ET16:ET25)</f>
        <v>835</v>
      </c>
      <c r="EU26" s="1271"/>
      <c r="EV26" s="1264">
        <f>SUM(EV16:EV25)</f>
        <v>641</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505</v>
      </c>
      <c r="FN26" s="629"/>
      <c r="FO26" s="629"/>
      <c r="FP26" s="1267"/>
      <c r="FQ26" s="638"/>
      <c r="FR26" s="1264">
        <f>SUM(FR16:FR25)</f>
        <v>3374</v>
      </c>
      <c r="FS26" s="1272"/>
      <c r="FT26" s="638"/>
      <c r="FU26" s="1269">
        <f>SUM(FU16:FU25)</f>
        <v>3464</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0.65</v>
      </c>
      <c r="GZ26" s="567"/>
      <c r="HA26" s="517"/>
      <c r="HB26" s="517"/>
      <c r="HC26" s="517"/>
      <c r="HD26" s="635"/>
      <c r="HE26" s="406"/>
      <c r="HF26" s="406"/>
      <c r="HG26" s="567"/>
      <c r="HH26" s="635"/>
      <c r="HI26" s="406"/>
      <c r="HJ26" s="406"/>
    </row>
    <row r="27" spans="1:218" ht="20.100000000000001" customHeight="1">
      <c r="A27" s="1273" t="s">
        <v>369</v>
      </c>
      <c r="B27" s="721"/>
      <c r="C27" s="722"/>
      <c r="D27" s="650"/>
      <c r="E27" s="722"/>
      <c r="F27" s="722"/>
      <c r="G27" s="723" t="s">
        <v>367</v>
      </c>
      <c r="H27" s="650" t="s">
        <v>368</v>
      </c>
      <c r="I27" s="724" t="s">
        <v>367</v>
      </c>
      <c r="J27" s="650" t="s">
        <v>368</v>
      </c>
      <c r="K27" s="725" t="s">
        <v>367</v>
      </c>
      <c r="L27" s="650" t="s">
        <v>368</v>
      </c>
      <c r="M27" s="725" t="s">
        <v>367</v>
      </c>
      <c r="N27" s="650" t="s">
        <v>368</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7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7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v>55</v>
      </c>
      <c r="E28" s="738">
        <v>29</v>
      </c>
      <c r="F28" s="739" t="s">
        <v>373</v>
      </c>
      <c r="G28" s="740"/>
      <c r="H28" s="546"/>
      <c r="I28" s="741"/>
      <c r="J28" s="546"/>
      <c r="K28" s="741"/>
      <c r="L28" s="546"/>
      <c r="M28" s="741"/>
      <c r="N28" s="546"/>
      <c r="O28" s="741"/>
      <c r="P28" s="546"/>
      <c r="Q28" s="741"/>
      <c r="R28" s="546"/>
      <c r="S28" s="741"/>
      <c r="T28" s="546"/>
      <c r="U28" s="741"/>
      <c r="V28" s="546"/>
      <c r="W28" s="741">
        <v>1</v>
      </c>
      <c r="X28" s="546">
        <v>1595</v>
      </c>
      <c r="Y28" s="741">
        <v>1</v>
      </c>
      <c r="Z28" s="546">
        <v>1595</v>
      </c>
      <c r="AA28" s="741">
        <v>1</v>
      </c>
      <c r="AB28" s="546">
        <v>1595</v>
      </c>
      <c r="AC28" s="741">
        <v>1</v>
      </c>
      <c r="AD28" s="546">
        <v>1595</v>
      </c>
      <c r="AE28" s="741">
        <v>1</v>
      </c>
      <c r="AF28" s="546">
        <v>1595</v>
      </c>
      <c r="AG28" s="741">
        <v>1</v>
      </c>
      <c r="AH28" s="546">
        <v>1595</v>
      </c>
      <c r="AI28" s="741">
        <v>1</v>
      </c>
      <c r="AJ28" s="546">
        <v>1595</v>
      </c>
      <c r="AK28" s="741">
        <v>1</v>
      </c>
      <c r="AL28" s="546">
        <v>1595</v>
      </c>
      <c r="AM28" s="741">
        <v>1</v>
      </c>
      <c r="AN28" s="546">
        <v>1595</v>
      </c>
      <c r="AO28" s="741">
        <v>1</v>
      </c>
      <c r="AP28" s="546">
        <v>1595</v>
      </c>
      <c r="AQ28" s="741"/>
      <c r="AR28" s="546"/>
      <c r="AS28" s="741"/>
      <c r="AT28" s="546"/>
      <c r="AU28" s="741"/>
      <c r="AV28" s="546"/>
      <c r="AW28" s="741"/>
      <c r="AX28" s="546"/>
      <c r="AY28" s="741"/>
      <c r="AZ28" s="546"/>
      <c r="BA28" s="741"/>
      <c r="BB28" s="667"/>
      <c r="BC28" s="549"/>
      <c r="BD28" s="539"/>
      <c r="BE28" s="735" t="s">
        <v>372</v>
      </c>
      <c r="BF28" s="736"/>
      <c r="BG28" s="737">
        <v>55</v>
      </c>
      <c r="BH28" s="738">
        <v>29</v>
      </c>
      <c r="BI28" s="739" t="s">
        <v>373</v>
      </c>
      <c r="BJ28" s="740"/>
      <c r="BK28" s="546"/>
      <c r="BL28" s="741"/>
      <c r="BM28" s="546"/>
      <c r="BN28" s="741"/>
      <c r="BO28" s="546"/>
      <c r="BP28" s="741"/>
      <c r="BQ28" s="546"/>
      <c r="BR28" s="741"/>
      <c r="BS28" s="546"/>
      <c r="BT28" s="741"/>
      <c r="BU28" s="546"/>
      <c r="BV28" s="741"/>
      <c r="BW28" s="546"/>
      <c r="BX28" s="741"/>
      <c r="BY28" s="546"/>
      <c r="BZ28" s="741">
        <v>1</v>
      </c>
      <c r="CA28" s="546">
        <v>1595</v>
      </c>
      <c r="CB28" s="741">
        <v>1</v>
      </c>
      <c r="CC28" s="546">
        <v>1595</v>
      </c>
      <c r="CD28" s="741">
        <v>1</v>
      </c>
      <c r="CE28" s="546">
        <v>1595</v>
      </c>
      <c r="CF28" s="741">
        <v>1</v>
      </c>
      <c r="CG28" s="546">
        <v>1595</v>
      </c>
      <c r="CH28" s="741">
        <v>1</v>
      </c>
      <c r="CI28" s="546">
        <v>1595</v>
      </c>
      <c r="CJ28" s="741">
        <v>1</v>
      </c>
      <c r="CK28" s="546">
        <v>1595</v>
      </c>
      <c r="CL28" s="741">
        <v>1</v>
      </c>
      <c r="CM28" s="546">
        <v>1595</v>
      </c>
      <c r="CN28" s="741">
        <v>1</v>
      </c>
      <c r="CO28" s="546">
        <v>1595</v>
      </c>
      <c r="CP28" s="741">
        <v>1</v>
      </c>
      <c r="CQ28" s="546">
        <v>1595</v>
      </c>
      <c r="CR28" s="741">
        <v>1</v>
      </c>
      <c r="CS28" s="546">
        <v>1595</v>
      </c>
      <c r="CT28" s="741"/>
      <c r="CU28" s="546"/>
      <c r="CV28" s="741"/>
      <c r="CW28" s="546"/>
      <c r="CX28" s="741"/>
      <c r="CY28" s="546"/>
      <c r="CZ28" s="741"/>
      <c r="DA28" s="546"/>
      <c r="DB28" s="741"/>
      <c r="DC28" s="546"/>
      <c r="DD28" s="741"/>
      <c r="DE28" s="667"/>
      <c r="DF28" s="549"/>
      <c r="DG28" s="539"/>
      <c r="DH28" s="735" t="s">
        <v>372</v>
      </c>
      <c r="DI28" s="736"/>
      <c r="DJ28" s="737">
        <v>55</v>
      </c>
      <c r="DK28" s="738">
        <v>29</v>
      </c>
      <c r="DL28" s="739" t="s">
        <v>373</v>
      </c>
      <c r="DM28" s="740"/>
      <c r="DN28" s="546"/>
      <c r="DO28" s="741"/>
      <c r="DP28" s="546"/>
      <c r="DQ28" s="741"/>
      <c r="DR28" s="546"/>
      <c r="DS28" s="741"/>
      <c r="DT28" s="546"/>
      <c r="DU28" s="741"/>
      <c r="DV28" s="546"/>
      <c r="DW28" s="741"/>
      <c r="DX28" s="546"/>
      <c r="DY28" s="741"/>
      <c r="DZ28" s="546"/>
      <c r="EA28" s="741"/>
      <c r="EB28" s="546"/>
      <c r="EC28" s="741">
        <v>1</v>
      </c>
      <c r="ED28" s="546">
        <v>1595</v>
      </c>
      <c r="EE28" s="741">
        <v>1</v>
      </c>
      <c r="EF28" s="546">
        <v>1595</v>
      </c>
      <c r="EG28" s="741">
        <v>1</v>
      </c>
      <c r="EH28" s="546">
        <v>1595</v>
      </c>
      <c r="EI28" s="741">
        <v>1</v>
      </c>
      <c r="EJ28" s="546">
        <v>1595</v>
      </c>
      <c r="EK28" s="741">
        <v>1</v>
      </c>
      <c r="EL28" s="546">
        <v>1595</v>
      </c>
      <c r="EM28" s="741">
        <v>1</v>
      </c>
      <c r="EN28" s="546">
        <v>1595</v>
      </c>
      <c r="EO28" s="741">
        <v>1</v>
      </c>
      <c r="EP28" s="546">
        <v>1595</v>
      </c>
      <c r="EQ28" s="741">
        <v>1</v>
      </c>
      <c r="ER28" s="546">
        <v>1595</v>
      </c>
      <c r="ES28" s="741">
        <v>1</v>
      </c>
      <c r="ET28" s="546">
        <v>1595</v>
      </c>
      <c r="EU28" s="741">
        <v>1</v>
      </c>
      <c r="EV28" s="546">
        <v>1595</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20</v>
      </c>
      <c r="E29" s="750">
        <v>196.5</v>
      </c>
      <c r="F29" s="751" t="s">
        <v>373</v>
      </c>
      <c r="G29" s="752"/>
      <c r="H29" s="574"/>
      <c r="I29" s="753"/>
      <c r="J29" s="574"/>
      <c r="K29" s="753"/>
      <c r="L29" s="574"/>
      <c r="M29" s="753"/>
      <c r="N29" s="574"/>
      <c r="O29" s="753"/>
      <c r="P29" s="574"/>
      <c r="Q29" s="753"/>
      <c r="R29" s="574"/>
      <c r="S29" s="753"/>
      <c r="T29" s="574"/>
      <c r="U29" s="753"/>
      <c r="V29" s="574"/>
      <c r="W29" s="753">
        <v>1</v>
      </c>
      <c r="X29" s="574">
        <v>3930</v>
      </c>
      <c r="Y29" s="753">
        <v>1</v>
      </c>
      <c r="Z29" s="574">
        <v>3930</v>
      </c>
      <c r="AA29" s="753">
        <v>1</v>
      </c>
      <c r="AB29" s="574">
        <v>3930</v>
      </c>
      <c r="AC29" s="753">
        <v>1</v>
      </c>
      <c r="AD29" s="574">
        <v>3930</v>
      </c>
      <c r="AE29" s="753">
        <v>1</v>
      </c>
      <c r="AF29" s="574">
        <v>3930</v>
      </c>
      <c r="AG29" s="753">
        <v>1</v>
      </c>
      <c r="AH29" s="574">
        <v>3930</v>
      </c>
      <c r="AI29" s="753">
        <v>1</v>
      </c>
      <c r="AJ29" s="574">
        <v>3930</v>
      </c>
      <c r="AK29" s="753">
        <v>1</v>
      </c>
      <c r="AL29" s="574">
        <v>3930</v>
      </c>
      <c r="AM29" s="753">
        <v>1</v>
      </c>
      <c r="AN29" s="574">
        <v>3930</v>
      </c>
      <c r="AO29" s="753">
        <v>1</v>
      </c>
      <c r="AP29" s="574">
        <v>3930</v>
      </c>
      <c r="AQ29" s="753"/>
      <c r="AR29" s="574"/>
      <c r="AS29" s="753"/>
      <c r="AT29" s="574"/>
      <c r="AU29" s="753"/>
      <c r="AV29" s="574"/>
      <c r="AW29" s="753"/>
      <c r="AX29" s="574"/>
      <c r="AY29" s="753"/>
      <c r="AZ29" s="574"/>
      <c r="BA29" s="753"/>
      <c r="BB29" s="576"/>
      <c r="BC29" s="549"/>
      <c r="BD29" s="539"/>
      <c r="BE29" s="747" t="s">
        <v>374</v>
      </c>
      <c r="BF29" s="748"/>
      <c r="BG29" s="749">
        <v>20</v>
      </c>
      <c r="BH29" s="750">
        <v>196.5</v>
      </c>
      <c r="BI29" s="751" t="s">
        <v>373</v>
      </c>
      <c r="BJ29" s="752"/>
      <c r="BK29" s="574"/>
      <c r="BL29" s="753"/>
      <c r="BM29" s="574"/>
      <c r="BN29" s="753"/>
      <c r="BO29" s="574"/>
      <c r="BP29" s="753"/>
      <c r="BQ29" s="574"/>
      <c r="BR29" s="753"/>
      <c r="BS29" s="574"/>
      <c r="BT29" s="753"/>
      <c r="BU29" s="574"/>
      <c r="BV29" s="753"/>
      <c r="BW29" s="574"/>
      <c r="BX29" s="753"/>
      <c r="BY29" s="574"/>
      <c r="BZ29" s="753">
        <v>1</v>
      </c>
      <c r="CA29" s="574">
        <v>3930</v>
      </c>
      <c r="CB29" s="753">
        <v>1</v>
      </c>
      <c r="CC29" s="574">
        <v>3930</v>
      </c>
      <c r="CD29" s="753">
        <v>1</v>
      </c>
      <c r="CE29" s="574">
        <v>3930</v>
      </c>
      <c r="CF29" s="753">
        <v>1</v>
      </c>
      <c r="CG29" s="574">
        <v>3930</v>
      </c>
      <c r="CH29" s="753">
        <v>1</v>
      </c>
      <c r="CI29" s="574">
        <v>3930</v>
      </c>
      <c r="CJ29" s="753">
        <v>1</v>
      </c>
      <c r="CK29" s="574">
        <v>3930</v>
      </c>
      <c r="CL29" s="753">
        <v>1</v>
      </c>
      <c r="CM29" s="574">
        <v>3930</v>
      </c>
      <c r="CN29" s="753">
        <v>1</v>
      </c>
      <c r="CO29" s="574">
        <v>3930</v>
      </c>
      <c r="CP29" s="753">
        <v>1</v>
      </c>
      <c r="CQ29" s="574">
        <v>3930</v>
      </c>
      <c r="CR29" s="753">
        <v>1</v>
      </c>
      <c r="CS29" s="574">
        <v>3930</v>
      </c>
      <c r="CT29" s="753"/>
      <c r="CU29" s="574"/>
      <c r="CV29" s="753"/>
      <c r="CW29" s="574"/>
      <c r="CX29" s="753"/>
      <c r="CY29" s="574"/>
      <c r="CZ29" s="753"/>
      <c r="DA29" s="574"/>
      <c r="DB29" s="753"/>
      <c r="DC29" s="574"/>
      <c r="DD29" s="753"/>
      <c r="DE29" s="576"/>
      <c r="DF29" s="549"/>
      <c r="DG29" s="539"/>
      <c r="DH29" s="747" t="s">
        <v>374</v>
      </c>
      <c r="DI29" s="748"/>
      <c r="DJ29" s="749">
        <v>20</v>
      </c>
      <c r="DK29" s="750">
        <v>196.5</v>
      </c>
      <c r="DL29" s="751" t="s">
        <v>373</v>
      </c>
      <c r="DM29" s="752"/>
      <c r="DN29" s="574"/>
      <c r="DO29" s="753"/>
      <c r="DP29" s="574"/>
      <c r="DQ29" s="753"/>
      <c r="DR29" s="574"/>
      <c r="DS29" s="753"/>
      <c r="DT29" s="574"/>
      <c r="DU29" s="753"/>
      <c r="DV29" s="574"/>
      <c r="DW29" s="753"/>
      <c r="DX29" s="574"/>
      <c r="DY29" s="753"/>
      <c r="DZ29" s="574"/>
      <c r="EA29" s="753"/>
      <c r="EB29" s="574"/>
      <c r="EC29" s="753">
        <v>1</v>
      </c>
      <c r="ED29" s="574">
        <v>3930</v>
      </c>
      <c r="EE29" s="753">
        <v>1</v>
      </c>
      <c r="EF29" s="574">
        <v>3930</v>
      </c>
      <c r="EG29" s="753">
        <v>1</v>
      </c>
      <c r="EH29" s="574">
        <v>3930</v>
      </c>
      <c r="EI29" s="753">
        <v>1</v>
      </c>
      <c r="EJ29" s="574">
        <v>3930</v>
      </c>
      <c r="EK29" s="753">
        <v>1</v>
      </c>
      <c r="EL29" s="574">
        <v>3930</v>
      </c>
      <c r="EM29" s="753">
        <v>1</v>
      </c>
      <c r="EN29" s="574">
        <v>3930</v>
      </c>
      <c r="EO29" s="753">
        <v>1</v>
      </c>
      <c r="EP29" s="574">
        <v>3930</v>
      </c>
      <c r="EQ29" s="753">
        <v>1</v>
      </c>
      <c r="ER29" s="574">
        <v>3930</v>
      </c>
      <c r="ES29" s="753">
        <v>1</v>
      </c>
      <c r="ET29" s="574">
        <v>3930</v>
      </c>
      <c r="EU29" s="753">
        <v>1</v>
      </c>
      <c r="EV29" s="574">
        <v>3930</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v>25</v>
      </c>
      <c r="D30" s="750">
        <v>196.5</v>
      </c>
      <c r="E30" s="759">
        <v>0.6</v>
      </c>
      <c r="F30" s="760" t="s">
        <v>373</v>
      </c>
      <c r="G30" s="752"/>
      <c r="H30" s="574"/>
      <c r="I30" s="753"/>
      <c r="J30" s="574"/>
      <c r="K30" s="753"/>
      <c r="L30" s="574"/>
      <c r="M30" s="753"/>
      <c r="N30" s="574"/>
      <c r="O30" s="753"/>
      <c r="P30" s="574"/>
      <c r="Q30" s="753"/>
      <c r="R30" s="574"/>
      <c r="S30" s="753"/>
      <c r="T30" s="574"/>
      <c r="U30" s="753"/>
      <c r="V30" s="574"/>
      <c r="W30" s="753">
        <v>1</v>
      </c>
      <c r="X30" s="574">
        <v>2948</v>
      </c>
      <c r="Y30" s="753">
        <v>1</v>
      </c>
      <c r="Z30" s="574">
        <v>2948</v>
      </c>
      <c r="AA30" s="753">
        <v>1</v>
      </c>
      <c r="AB30" s="574">
        <v>2948</v>
      </c>
      <c r="AC30" s="753">
        <v>1</v>
      </c>
      <c r="AD30" s="574">
        <v>2948</v>
      </c>
      <c r="AE30" s="753">
        <v>1</v>
      </c>
      <c r="AF30" s="574">
        <v>2948</v>
      </c>
      <c r="AG30" s="753">
        <v>1</v>
      </c>
      <c r="AH30" s="574">
        <v>2948</v>
      </c>
      <c r="AI30" s="753">
        <v>1</v>
      </c>
      <c r="AJ30" s="574">
        <v>2948</v>
      </c>
      <c r="AK30" s="753">
        <v>1</v>
      </c>
      <c r="AL30" s="574">
        <v>2948</v>
      </c>
      <c r="AM30" s="753">
        <v>1</v>
      </c>
      <c r="AN30" s="574">
        <v>2948</v>
      </c>
      <c r="AO30" s="753">
        <v>1</v>
      </c>
      <c r="AP30" s="574">
        <v>2948</v>
      </c>
      <c r="AQ30" s="753"/>
      <c r="AR30" s="574"/>
      <c r="AS30" s="753"/>
      <c r="AT30" s="574"/>
      <c r="AU30" s="753"/>
      <c r="AV30" s="574"/>
      <c r="AW30" s="753"/>
      <c r="AX30" s="574"/>
      <c r="AY30" s="753"/>
      <c r="AZ30" s="574"/>
      <c r="BA30" s="753"/>
      <c r="BB30" s="576"/>
      <c r="BC30" s="549"/>
      <c r="BD30" s="539"/>
      <c r="BE30" s="747" t="s">
        <v>375</v>
      </c>
      <c r="BF30" s="749">
        <v>25</v>
      </c>
      <c r="BG30" s="750">
        <v>196.5</v>
      </c>
      <c r="BH30" s="759">
        <v>0.6</v>
      </c>
      <c r="BI30" s="760" t="s">
        <v>373</v>
      </c>
      <c r="BJ30" s="752"/>
      <c r="BK30" s="574"/>
      <c r="BL30" s="753"/>
      <c r="BM30" s="574"/>
      <c r="BN30" s="753"/>
      <c r="BO30" s="574"/>
      <c r="BP30" s="753"/>
      <c r="BQ30" s="574"/>
      <c r="BR30" s="753"/>
      <c r="BS30" s="574"/>
      <c r="BT30" s="753"/>
      <c r="BU30" s="574"/>
      <c r="BV30" s="753"/>
      <c r="BW30" s="574"/>
      <c r="BX30" s="753"/>
      <c r="BY30" s="574"/>
      <c r="BZ30" s="753">
        <v>1</v>
      </c>
      <c r="CA30" s="574">
        <v>2948</v>
      </c>
      <c r="CB30" s="753">
        <v>1</v>
      </c>
      <c r="CC30" s="574">
        <v>2948</v>
      </c>
      <c r="CD30" s="753">
        <v>1</v>
      </c>
      <c r="CE30" s="574">
        <v>2948</v>
      </c>
      <c r="CF30" s="753">
        <v>1</v>
      </c>
      <c r="CG30" s="574">
        <v>2948</v>
      </c>
      <c r="CH30" s="753">
        <v>1</v>
      </c>
      <c r="CI30" s="574">
        <v>2948</v>
      </c>
      <c r="CJ30" s="753">
        <v>1</v>
      </c>
      <c r="CK30" s="574">
        <v>2948</v>
      </c>
      <c r="CL30" s="753">
        <v>1</v>
      </c>
      <c r="CM30" s="574">
        <v>2948</v>
      </c>
      <c r="CN30" s="753">
        <v>1</v>
      </c>
      <c r="CO30" s="574">
        <v>2948</v>
      </c>
      <c r="CP30" s="753">
        <v>1</v>
      </c>
      <c r="CQ30" s="574">
        <v>2948</v>
      </c>
      <c r="CR30" s="753">
        <v>1</v>
      </c>
      <c r="CS30" s="574">
        <v>2948</v>
      </c>
      <c r="CT30" s="753"/>
      <c r="CU30" s="574"/>
      <c r="CV30" s="753"/>
      <c r="CW30" s="574"/>
      <c r="CX30" s="753"/>
      <c r="CY30" s="574"/>
      <c r="CZ30" s="753"/>
      <c r="DA30" s="574"/>
      <c r="DB30" s="753"/>
      <c r="DC30" s="574"/>
      <c r="DD30" s="753"/>
      <c r="DE30" s="576"/>
      <c r="DF30" s="549"/>
      <c r="DG30" s="539"/>
      <c r="DH30" s="747" t="s">
        <v>375</v>
      </c>
      <c r="DI30" s="749">
        <v>25</v>
      </c>
      <c r="DJ30" s="750">
        <v>196.5</v>
      </c>
      <c r="DK30" s="759">
        <v>0.6</v>
      </c>
      <c r="DL30" s="760" t="s">
        <v>373</v>
      </c>
      <c r="DM30" s="752"/>
      <c r="DN30" s="574"/>
      <c r="DO30" s="753"/>
      <c r="DP30" s="574"/>
      <c r="DQ30" s="753"/>
      <c r="DR30" s="574"/>
      <c r="DS30" s="753"/>
      <c r="DT30" s="574"/>
      <c r="DU30" s="753"/>
      <c r="DV30" s="574"/>
      <c r="DW30" s="753"/>
      <c r="DX30" s="574"/>
      <c r="DY30" s="753"/>
      <c r="DZ30" s="574"/>
      <c r="EA30" s="753"/>
      <c r="EB30" s="574"/>
      <c r="EC30" s="753">
        <v>1</v>
      </c>
      <c r="ED30" s="574">
        <v>2948</v>
      </c>
      <c r="EE30" s="753">
        <v>1</v>
      </c>
      <c r="EF30" s="574">
        <v>2948</v>
      </c>
      <c r="EG30" s="753">
        <v>1</v>
      </c>
      <c r="EH30" s="574">
        <v>2948</v>
      </c>
      <c r="EI30" s="753">
        <v>1</v>
      </c>
      <c r="EJ30" s="574">
        <v>2948</v>
      </c>
      <c r="EK30" s="753">
        <v>1</v>
      </c>
      <c r="EL30" s="574">
        <v>2948</v>
      </c>
      <c r="EM30" s="753">
        <v>1</v>
      </c>
      <c r="EN30" s="574">
        <v>2948</v>
      </c>
      <c r="EO30" s="753">
        <v>1</v>
      </c>
      <c r="EP30" s="574">
        <v>2948</v>
      </c>
      <c r="EQ30" s="753">
        <v>1</v>
      </c>
      <c r="ER30" s="574">
        <v>2948</v>
      </c>
      <c r="ES30" s="753">
        <v>1</v>
      </c>
      <c r="ET30" s="574">
        <v>2948</v>
      </c>
      <c r="EU30" s="753">
        <v>1</v>
      </c>
      <c r="EV30" s="574">
        <v>2948</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65"/>
      <c r="J33" s="1264">
        <v>0</v>
      </c>
      <c r="K33" s="1265"/>
      <c r="L33" s="1264">
        <v>0</v>
      </c>
      <c r="M33" s="1265"/>
      <c r="N33" s="1264">
        <v>0</v>
      </c>
      <c r="O33" s="1265"/>
      <c r="P33" s="1264">
        <v>0</v>
      </c>
      <c r="Q33" s="1265"/>
      <c r="R33" s="1264">
        <v>0</v>
      </c>
      <c r="S33" s="1265"/>
      <c r="T33" s="1264">
        <v>0</v>
      </c>
      <c r="U33" s="1265"/>
      <c r="V33" s="1264">
        <v>0</v>
      </c>
      <c r="W33" s="1265"/>
      <c r="X33" s="1264">
        <v>8473</v>
      </c>
      <c r="Y33" s="1265"/>
      <c r="Z33" s="1264">
        <v>8473</v>
      </c>
      <c r="AA33" s="1265"/>
      <c r="AB33" s="1264">
        <v>8473</v>
      </c>
      <c r="AC33" s="1265"/>
      <c r="AD33" s="1264">
        <v>8473</v>
      </c>
      <c r="AE33" s="1265"/>
      <c r="AF33" s="1264">
        <v>8473</v>
      </c>
      <c r="AG33" s="1265"/>
      <c r="AH33" s="1264">
        <v>8473</v>
      </c>
      <c r="AI33" s="1265"/>
      <c r="AJ33" s="1264">
        <v>8473</v>
      </c>
      <c r="AK33" s="1265"/>
      <c r="AL33" s="1264">
        <v>8473</v>
      </c>
      <c r="AM33" s="1265"/>
      <c r="AN33" s="1264">
        <v>8473</v>
      </c>
      <c r="AO33" s="1265"/>
      <c r="AP33" s="1264">
        <v>8473</v>
      </c>
      <c r="AQ33" s="1265"/>
      <c r="AR33" s="1264">
        <v>0</v>
      </c>
      <c r="AS33" s="1265"/>
      <c r="AT33" s="1264">
        <v>0</v>
      </c>
      <c r="AU33" s="1265"/>
      <c r="AV33" s="1264">
        <v>0</v>
      </c>
      <c r="AW33" s="1265"/>
      <c r="AX33" s="1264">
        <v>0</v>
      </c>
      <c r="AY33" s="1265"/>
      <c r="AZ33" s="1264">
        <v>0</v>
      </c>
      <c r="BA33" s="1265"/>
      <c r="BB33" s="1266">
        <v>0</v>
      </c>
      <c r="BC33" s="635"/>
      <c r="BD33" s="628"/>
      <c r="BE33" s="629"/>
      <c r="BF33" s="629"/>
      <c r="BG33" s="630" t="s">
        <v>378</v>
      </c>
      <c r="BH33" s="629"/>
      <c r="BI33" s="629"/>
      <c r="BJ33" s="1263"/>
      <c r="BK33" s="1264">
        <v>0</v>
      </c>
      <c r="BL33" s="1265"/>
      <c r="BM33" s="1264">
        <v>0</v>
      </c>
      <c r="BN33" s="1265"/>
      <c r="BO33" s="1264">
        <v>0</v>
      </c>
      <c r="BP33" s="1265"/>
      <c r="BQ33" s="1264">
        <v>0</v>
      </c>
      <c r="BR33" s="1265"/>
      <c r="BS33" s="1264">
        <v>0</v>
      </c>
      <c r="BT33" s="1265"/>
      <c r="BU33" s="1264">
        <v>0</v>
      </c>
      <c r="BV33" s="1265"/>
      <c r="BW33" s="1264">
        <v>0</v>
      </c>
      <c r="BX33" s="1265"/>
      <c r="BY33" s="1264">
        <v>0</v>
      </c>
      <c r="BZ33" s="1265"/>
      <c r="CA33" s="1264">
        <v>8473</v>
      </c>
      <c r="CB33" s="1265"/>
      <c r="CC33" s="1264">
        <v>8473</v>
      </c>
      <c r="CD33" s="1265"/>
      <c r="CE33" s="1264">
        <v>8473</v>
      </c>
      <c r="CF33" s="1265"/>
      <c r="CG33" s="1264">
        <v>8473</v>
      </c>
      <c r="CH33" s="1265"/>
      <c r="CI33" s="1264">
        <v>8473</v>
      </c>
      <c r="CJ33" s="1265"/>
      <c r="CK33" s="1264">
        <v>8473</v>
      </c>
      <c r="CL33" s="1265"/>
      <c r="CM33" s="1264">
        <v>8473</v>
      </c>
      <c r="CN33" s="1265"/>
      <c r="CO33" s="1264">
        <v>8473</v>
      </c>
      <c r="CP33" s="1265"/>
      <c r="CQ33" s="1264">
        <v>8473</v>
      </c>
      <c r="CR33" s="1265"/>
      <c r="CS33" s="1264">
        <v>8473</v>
      </c>
      <c r="CT33" s="1265"/>
      <c r="CU33" s="1264">
        <v>0</v>
      </c>
      <c r="CV33" s="1265"/>
      <c r="CW33" s="1264">
        <v>0</v>
      </c>
      <c r="CX33" s="1265"/>
      <c r="CY33" s="1264">
        <v>0</v>
      </c>
      <c r="CZ33" s="1265"/>
      <c r="DA33" s="1264">
        <v>0</v>
      </c>
      <c r="DB33" s="1265"/>
      <c r="DC33" s="1264">
        <v>0</v>
      </c>
      <c r="DD33" s="1265"/>
      <c r="DE33" s="1266">
        <v>0</v>
      </c>
      <c r="DF33" s="635"/>
      <c r="DG33" s="628"/>
      <c r="DH33" s="629"/>
      <c r="DI33" s="629"/>
      <c r="DJ33" s="630" t="s">
        <v>378</v>
      </c>
      <c r="DK33" s="629"/>
      <c r="DL33" s="629"/>
      <c r="DM33" s="1263"/>
      <c r="DN33" s="1264">
        <v>0</v>
      </c>
      <c r="DO33" s="1265"/>
      <c r="DP33" s="1264">
        <v>0</v>
      </c>
      <c r="DQ33" s="1265"/>
      <c r="DR33" s="1264">
        <v>0</v>
      </c>
      <c r="DS33" s="1265"/>
      <c r="DT33" s="1264">
        <v>0</v>
      </c>
      <c r="DU33" s="1265"/>
      <c r="DV33" s="1264">
        <v>0</v>
      </c>
      <c r="DW33" s="1265"/>
      <c r="DX33" s="1264">
        <v>0</v>
      </c>
      <c r="DY33" s="1265"/>
      <c r="DZ33" s="1264">
        <v>0</v>
      </c>
      <c r="EA33" s="1265"/>
      <c r="EB33" s="1264">
        <v>0</v>
      </c>
      <c r="EC33" s="1265"/>
      <c r="ED33" s="1264">
        <v>8473</v>
      </c>
      <c r="EE33" s="1265"/>
      <c r="EF33" s="1264">
        <v>8473</v>
      </c>
      <c r="EG33" s="1265"/>
      <c r="EH33" s="1264">
        <v>8473</v>
      </c>
      <c r="EI33" s="1265"/>
      <c r="EJ33" s="1264">
        <v>8473</v>
      </c>
      <c r="EK33" s="1265"/>
      <c r="EL33" s="1264">
        <v>8473</v>
      </c>
      <c r="EM33" s="1265"/>
      <c r="EN33" s="1264">
        <v>8473</v>
      </c>
      <c r="EO33" s="1265"/>
      <c r="EP33" s="1264">
        <v>8473</v>
      </c>
      <c r="EQ33" s="1265"/>
      <c r="ER33" s="1264">
        <v>8473</v>
      </c>
      <c r="ES33" s="1265"/>
      <c r="ET33" s="1264">
        <v>8473</v>
      </c>
      <c r="EU33" s="1265"/>
      <c r="EV33" s="1264">
        <v>8473</v>
      </c>
      <c r="EW33" s="1265"/>
      <c r="EX33" s="1264">
        <v>0</v>
      </c>
      <c r="EY33" s="1265"/>
      <c r="EZ33" s="1264">
        <v>0</v>
      </c>
      <c r="FA33" s="1265"/>
      <c r="FB33" s="1264">
        <v>0</v>
      </c>
      <c r="FC33" s="1265"/>
      <c r="FD33" s="1264">
        <v>0</v>
      </c>
      <c r="FE33" s="1265"/>
      <c r="FF33" s="1264">
        <v>0</v>
      </c>
      <c r="FG33" s="1265"/>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202</v>
      </c>
      <c r="GV33" s="795"/>
      <c r="GW33" s="796">
        <v>84.9</v>
      </c>
      <c r="GX33" s="797">
        <v>52.04</v>
      </c>
      <c r="GY33" s="797">
        <v>61.54</v>
      </c>
      <c r="GZ33" s="797">
        <v>0</v>
      </c>
      <c r="HA33" s="797">
        <v>198.48</v>
      </c>
      <c r="HB33" s="798">
        <v>196.5</v>
      </c>
      <c r="HC33" s="404"/>
      <c r="HD33" s="635"/>
      <c r="HE33" s="406"/>
      <c r="HF33" s="406"/>
    </row>
    <row r="34" spans="1:219" ht="20.100000000000001" customHeight="1">
      <c r="A34" s="127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7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7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517</v>
      </c>
      <c r="GL34" s="807"/>
      <c r="GM34" s="807"/>
      <c r="GN34" s="807"/>
      <c r="GO34" s="807"/>
      <c r="GP34" s="807"/>
      <c r="GQ34" s="602">
        <v>8.5</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76">
        <v>0</v>
      </c>
      <c r="I36" s="1277"/>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79">
        <v>0</v>
      </c>
      <c r="BC36" s="635"/>
      <c r="BD36" s="811"/>
      <c r="BE36" s="629"/>
      <c r="BF36" s="629"/>
      <c r="BG36" s="630" t="s">
        <v>382</v>
      </c>
      <c r="BH36" s="629"/>
      <c r="BI36" s="629"/>
      <c r="BJ36" s="1275"/>
      <c r="BK36" s="1276">
        <v>0</v>
      </c>
      <c r="BL36" s="1277"/>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79">
        <v>0</v>
      </c>
      <c r="DF36" s="635"/>
      <c r="DG36" s="811"/>
      <c r="DH36" s="629"/>
      <c r="DI36" s="629"/>
      <c r="DJ36" s="630" t="s">
        <v>382</v>
      </c>
      <c r="DK36" s="629"/>
      <c r="DL36" s="629"/>
      <c r="DM36" s="1275"/>
      <c r="DN36" s="1276">
        <v>0</v>
      </c>
      <c r="DO36" s="1277"/>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79">
        <v>0</v>
      </c>
      <c r="FI36" s="636"/>
      <c r="FJ36" s="820"/>
      <c r="FK36" s="629"/>
      <c r="FL36" s="629"/>
      <c r="FM36" s="630" t="s">
        <v>382</v>
      </c>
      <c r="FN36" s="629"/>
      <c r="FO36" s="629"/>
      <c r="FP36" s="1267"/>
      <c r="FQ36" s="1277"/>
      <c r="FR36" s="1276">
        <v>0</v>
      </c>
      <c r="FS36" s="1280"/>
      <c r="FT36" s="1277"/>
      <c r="FU36" s="128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198.48</v>
      </c>
      <c r="HB38" s="854">
        <v>196.5</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1.01</v>
      </c>
      <c r="HB39" s="566"/>
      <c r="HC39" s="517"/>
      <c r="HD39" s="549"/>
    </row>
    <row r="40" spans="1:219" ht="20.100000000000001" customHeight="1">
      <c r="A40" s="868"/>
      <c r="B40" s="629"/>
      <c r="C40" s="629"/>
      <c r="D40" s="630" t="s">
        <v>393</v>
      </c>
      <c r="E40" s="629"/>
      <c r="F40" s="629"/>
      <c r="G40" s="1275"/>
      <c r="H40" s="1276">
        <v>0</v>
      </c>
      <c r="I40" s="1277"/>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79">
        <v>0</v>
      </c>
      <c r="BC40" s="635"/>
      <c r="BD40" s="868"/>
      <c r="BE40" s="629"/>
      <c r="BF40" s="629"/>
      <c r="BG40" s="630" t="s">
        <v>393</v>
      </c>
      <c r="BH40" s="629"/>
      <c r="BI40" s="629"/>
      <c r="BJ40" s="1275"/>
      <c r="BK40" s="1276">
        <v>0</v>
      </c>
      <c r="BL40" s="1277"/>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79">
        <v>0</v>
      </c>
      <c r="DF40" s="635"/>
      <c r="DG40" s="868"/>
      <c r="DH40" s="629"/>
      <c r="DI40" s="629"/>
      <c r="DJ40" s="630" t="s">
        <v>393</v>
      </c>
      <c r="DK40" s="629"/>
      <c r="DL40" s="629"/>
      <c r="DM40" s="1275"/>
      <c r="DN40" s="1276">
        <v>0</v>
      </c>
      <c r="DO40" s="1277"/>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79">
        <v>0</v>
      </c>
      <c r="FI40" s="636"/>
      <c r="FJ40" s="820"/>
      <c r="FK40" s="629"/>
      <c r="FL40" s="629"/>
      <c r="FM40" s="630" t="s">
        <v>393</v>
      </c>
      <c r="FN40" s="629"/>
      <c r="FO40" s="629"/>
      <c r="FP40" s="1267"/>
      <c r="FQ40" s="1277"/>
      <c r="FR40" s="1276">
        <v>0</v>
      </c>
      <c r="FS40" s="1280"/>
      <c r="FT40" s="1277"/>
      <c r="FU40" s="128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519</v>
      </c>
      <c r="GV40" s="517"/>
      <c r="GW40" s="517"/>
      <c r="GX40" s="517"/>
      <c r="GY40" s="517"/>
      <c r="GZ40" s="517"/>
      <c r="HA40" s="873">
        <v>24.2</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488</v>
      </c>
      <c r="GV41" s="517"/>
      <c r="GW41" s="517"/>
      <c r="GX41" s="517"/>
      <c r="GY41" s="517"/>
      <c r="GZ41" s="517"/>
      <c r="HA41" s="873">
        <v>21.8</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1670</v>
      </c>
      <c r="Y42" s="818"/>
      <c r="Z42" s="782">
        <v>1002</v>
      </c>
      <c r="AA42" s="818"/>
      <c r="AB42" s="782">
        <v>924</v>
      </c>
      <c r="AC42" s="818"/>
      <c r="AD42" s="782">
        <v>845</v>
      </c>
      <c r="AE42" s="818"/>
      <c r="AF42" s="782">
        <v>786</v>
      </c>
      <c r="AG42" s="818"/>
      <c r="AH42" s="782">
        <v>707</v>
      </c>
      <c r="AI42" s="818"/>
      <c r="AJ42" s="782">
        <v>668</v>
      </c>
      <c r="AK42" s="818"/>
      <c r="AL42" s="782">
        <v>609</v>
      </c>
      <c r="AM42" s="818"/>
      <c r="AN42" s="782">
        <v>550</v>
      </c>
      <c r="AO42" s="818"/>
      <c r="AP42" s="782">
        <v>511</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1670</v>
      </c>
      <c r="CB42" s="818"/>
      <c r="CC42" s="782">
        <v>1002</v>
      </c>
      <c r="CD42" s="818"/>
      <c r="CE42" s="782">
        <v>924</v>
      </c>
      <c r="CF42" s="818"/>
      <c r="CG42" s="782">
        <v>845</v>
      </c>
      <c r="CH42" s="818"/>
      <c r="CI42" s="782">
        <v>786</v>
      </c>
      <c r="CJ42" s="818"/>
      <c r="CK42" s="782">
        <v>707</v>
      </c>
      <c r="CL42" s="818"/>
      <c r="CM42" s="782">
        <v>668</v>
      </c>
      <c r="CN42" s="818"/>
      <c r="CO42" s="782">
        <v>609</v>
      </c>
      <c r="CP42" s="818"/>
      <c r="CQ42" s="782">
        <v>550</v>
      </c>
      <c r="CR42" s="818"/>
      <c r="CS42" s="782">
        <v>511</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1670</v>
      </c>
      <c r="EE42" s="818"/>
      <c r="EF42" s="782">
        <v>1002</v>
      </c>
      <c r="EG42" s="818"/>
      <c r="EH42" s="782">
        <v>924</v>
      </c>
      <c r="EI42" s="818"/>
      <c r="EJ42" s="782">
        <v>845</v>
      </c>
      <c r="EK42" s="818"/>
      <c r="EL42" s="782">
        <v>786</v>
      </c>
      <c r="EM42" s="818"/>
      <c r="EN42" s="782">
        <v>707</v>
      </c>
      <c r="EO42" s="818"/>
      <c r="EP42" s="782">
        <v>668</v>
      </c>
      <c r="EQ42" s="818"/>
      <c r="ER42" s="782">
        <v>609</v>
      </c>
      <c r="ES42" s="818"/>
      <c r="ET42" s="782">
        <v>550</v>
      </c>
      <c r="EU42" s="818"/>
      <c r="EV42" s="782">
        <v>511</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118</v>
      </c>
      <c r="FS42" s="822"/>
      <c r="FT42" s="817"/>
      <c r="FU42" s="788">
        <v>118</v>
      </c>
      <c r="FV42" s="580"/>
      <c r="FW42" s="581"/>
      <c r="FX42" s="789"/>
      <c r="FY42" s="583"/>
      <c r="FZ42" s="790"/>
      <c r="GA42" s="585"/>
      <c r="GB42" s="791"/>
      <c r="GC42" s="587"/>
      <c r="GD42" s="791"/>
      <c r="GE42" s="588"/>
      <c r="GF42" s="823"/>
      <c r="GG42" s="589"/>
      <c r="GH42" s="589"/>
      <c r="GI42" s="589"/>
      <c r="GJ42" s="400"/>
      <c r="GK42" s="887"/>
      <c r="GL42" s="888"/>
      <c r="GM42" s="889">
        <v>8.5</v>
      </c>
      <c r="GN42" s="889"/>
      <c r="GO42" s="889">
        <v>0</v>
      </c>
      <c r="GP42" s="889"/>
      <c r="GQ42" s="889">
        <v>8.5</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76">
        <v>0</v>
      </c>
      <c r="I44" s="1277"/>
      <c r="J44" s="827">
        <v>0</v>
      </c>
      <c r="K44" s="1278"/>
      <c r="L44" s="827">
        <v>0</v>
      </c>
      <c r="M44" s="1278"/>
      <c r="N44" s="827">
        <v>0</v>
      </c>
      <c r="O44" s="1278"/>
      <c r="P44" s="827">
        <v>0</v>
      </c>
      <c r="Q44" s="1278"/>
      <c r="R44" s="827">
        <v>0</v>
      </c>
      <c r="S44" s="1278"/>
      <c r="T44" s="827">
        <v>0</v>
      </c>
      <c r="U44" s="1278"/>
      <c r="V44" s="827">
        <v>0</v>
      </c>
      <c r="W44" s="1278"/>
      <c r="X44" s="827">
        <v>1670</v>
      </c>
      <c r="Y44" s="1278"/>
      <c r="Z44" s="827">
        <v>1002</v>
      </c>
      <c r="AA44" s="1278"/>
      <c r="AB44" s="827">
        <v>924</v>
      </c>
      <c r="AC44" s="1278"/>
      <c r="AD44" s="827">
        <v>845</v>
      </c>
      <c r="AE44" s="1278"/>
      <c r="AF44" s="827">
        <v>786</v>
      </c>
      <c r="AG44" s="1278"/>
      <c r="AH44" s="827">
        <v>707</v>
      </c>
      <c r="AI44" s="1278"/>
      <c r="AJ44" s="827">
        <v>668</v>
      </c>
      <c r="AK44" s="1278"/>
      <c r="AL44" s="827">
        <v>609</v>
      </c>
      <c r="AM44" s="1278"/>
      <c r="AN44" s="827">
        <v>550</v>
      </c>
      <c r="AO44" s="1278"/>
      <c r="AP44" s="827">
        <v>511</v>
      </c>
      <c r="AQ44" s="1278"/>
      <c r="AR44" s="827">
        <v>0</v>
      </c>
      <c r="AS44" s="1278"/>
      <c r="AT44" s="827">
        <v>0</v>
      </c>
      <c r="AU44" s="1278"/>
      <c r="AV44" s="827">
        <v>0</v>
      </c>
      <c r="AW44" s="1278"/>
      <c r="AX44" s="827">
        <v>0</v>
      </c>
      <c r="AY44" s="1278"/>
      <c r="AZ44" s="827">
        <v>0</v>
      </c>
      <c r="BA44" s="1278"/>
      <c r="BB44" s="1279">
        <v>0</v>
      </c>
      <c r="BC44" s="635"/>
      <c r="BD44" s="912"/>
      <c r="BE44" s="629"/>
      <c r="BF44" s="629"/>
      <c r="BG44" s="630" t="s">
        <v>397</v>
      </c>
      <c r="BH44" s="629"/>
      <c r="BI44" s="629"/>
      <c r="BJ44" s="1275"/>
      <c r="BK44" s="1276">
        <v>0</v>
      </c>
      <c r="BL44" s="1277"/>
      <c r="BM44" s="827">
        <v>0</v>
      </c>
      <c r="BN44" s="1278"/>
      <c r="BO44" s="827">
        <v>0</v>
      </c>
      <c r="BP44" s="1278"/>
      <c r="BQ44" s="827">
        <v>0</v>
      </c>
      <c r="BR44" s="1278"/>
      <c r="BS44" s="827">
        <v>0</v>
      </c>
      <c r="BT44" s="1278"/>
      <c r="BU44" s="827">
        <v>0</v>
      </c>
      <c r="BV44" s="1278"/>
      <c r="BW44" s="827">
        <v>0</v>
      </c>
      <c r="BX44" s="1278"/>
      <c r="BY44" s="827">
        <v>0</v>
      </c>
      <c r="BZ44" s="1278"/>
      <c r="CA44" s="827">
        <v>1670</v>
      </c>
      <c r="CB44" s="1278"/>
      <c r="CC44" s="827">
        <v>1002</v>
      </c>
      <c r="CD44" s="1278"/>
      <c r="CE44" s="827">
        <v>924</v>
      </c>
      <c r="CF44" s="1278"/>
      <c r="CG44" s="827">
        <v>845</v>
      </c>
      <c r="CH44" s="1278"/>
      <c r="CI44" s="827">
        <v>786</v>
      </c>
      <c r="CJ44" s="1278"/>
      <c r="CK44" s="827">
        <v>707</v>
      </c>
      <c r="CL44" s="1278"/>
      <c r="CM44" s="827">
        <v>668</v>
      </c>
      <c r="CN44" s="1278"/>
      <c r="CO44" s="827">
        <v>609</v>
      </c>
      <c r="CP44" s="1278"/>
      <c r="CQ44" s="827">
        <v>550</v>
      </c>
      <c r="CR44" s="1278"/>
      <c r="CS44" s="827">
        <v>511</v>
      </c>
      <c r="CT44" s="1278"/>
      <c r="CU44" s="827">
        <v>0</v>
      </c>
      <c r="CV44" s="1278"/>
      <c r="CW44" s="827">
        <v>0</v>
      </c>
      <c r="CX44" s="1278"/>
      <c r="CY44" s="827">
        <v>0</v>
      </c>
      <c r="CZ44" s="1278"/>
      <c r="DA44" s="827">
        <v>0</v>
      </c>
      <c r="DB44" s="1278"/>
      <c r="DC44" s="827">
        <v>0</v>
      </c>
      <c r="DD44" s="1278"/>
      <c r="DE44" s="1279">
        <v>0</v>
      </c>
      <c r="DF44" s="635"/>
      <c r="DG44" s="912"/>
      <c r="DH44" s="629"/>
      <c r="DI44" s="629"/>
      <c r="DJ44" s="630" t="s">
        <v>397</v>
      </c>
      <c r="DK44" s="629"/>
      <c r="DL44" s="629"/>
      <c r="DM44" s="1275"/>
      <c r="DN44" s="1276">
        <v>0</v>
      </c>
      <c r="DO44" s="1277"/>
      <c r="DP44" s="827">
        <v>0</v>
      </c>
      <c r="DQ44" s="1278"/>
      <c r="DR44" s="827">
        <v>0</v>
      </c>
      <c r="DS44" s="1278"/>
      <c r="DT44" s="827">
        <v>0</v>
      </c>
      <c r="DU44" s="1278"/>
      <c r="DV44" s="827">
        <v>0</v>
      </c>
      <c r="DW44" s="1278"/>
      <c r="DX44" s="827">
        <v>0</v>
      </c>
      <c r="DY44" s="1278"/>
      <c r="DZ44" s="827">
        <v>0</v>
      </c>
      <c r="EA44" s="1278"/>
      <c r="EB44" s="827">
        <v>0</v>
      </c>
      <c r="EC44" s="1278"/>
      <c r="ED44" s="827">
        <v>1670</v>
      </c>
      <c r="EE44" s="1278"/>
      <c r="EF44" s="827">
        <v>1002</v>
      </c>
      <c r="EG44" s="1278"/>
      <c r="EH44" s="827">
        <v>924</v>
      </c>
      <c r="EI44" s="1278"/>
      <c r="EJ44" s="827">
        <v>845</v>
      </c>
      <c r="EK44" s="1278"/>
      <c r="EL44" s="827">
        <v>786</v>
      </c>
      <c r="EM44" s="1278"/>
      <c r="EN44" s="827">
        <v>707</v>
      </c>
      <c r="EO44" s="1278"/>
      <c r="EP44" s="827">
        <v>668</v>
      </c>
      <c r="EQ44" s="1278"/>
      <c r="ER44" s="827">
        <v>609</v>
      </c>
      <c r="ES44" s="1278"/>
      <c r="ET44" s="827">
        <v>550</v>
      </c>
      <c r="EU44" s="1278"/>
      <c r="EV44" s="827">
        <v>511</v>
      </c>
      <c r="EW44" s="1278"/>
      <c r="EX44" s="827">
        <v>0</v>
      </c>
      <c r="EY44" s="1278"/>
      <c r="EZ44" s="827">
        <v>0</v>
      </c>
      <c r="FA44" s="1278"/>
      <c r="FB44" s="827">
        <v>0</v>
      </c>
      <c r="FC44" s="1278"/>
      <c r="FD44" s="827">
        <v>0</v>
      </c>
      <c r="FE44" s="1278"/>
      <c r="FF44" s="827">
        <v>0</v>
      </c>
      <c r="FG44" s="1278"/>
      <c r="FH44" s="1279">
        <v>0</v>
      </c>
      <c r="FI44" s="636"/>
      <c r="FJ44" s="913"/>
      <c r="FK44" s="629"/>
      <c r="FL44" s="629"/>
      <c r="FM44" s="630" t="s">
        <v>397</v>
      </c>
      <c r="FN44" s="629"/>
      <c r="FO44" s="629"/>
      <c r="FP44" s="1267"/>
      <c r="FQ44" s="1277"/>
      <c r="FR44" s="1276">
        <v>118</v>
      </c>
      <c r="FS44" s="1280"/>
      <c r="FT44" s="1277"/>
      <c r="FU44" s="1281">
        <v>118</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5.5</v>
      </c>
      <c r="GN44" s="914"/>
      <c r="GO44" s="914">
        <v>0</v>
      </c>
      <c r="GP44" s="914"/>
      <c r="GQ44" s="889">
        <v>5.5</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12225</v>
      </c>
      <c r="Y45" s="923"/>
      <c r="Z45" s="922">
        <v>12231</v>
      </c>
      <c r="AA45" s="923"/>
      <c r="AB45" s="922">
        <v>12608</v>
      </c>
      <c r="AC45" s="923"/>
      <c r="AD45" s="922">
        <v>12608</v>
      </c>
      <c r="AE45" s="923"/>
      <c r="AF45" s="922">
        <v>12255</v>
      </c>
      <c r="AG45" s="923"/>
      <c r="AH45" s="922">
        <v>11508</v>
      </c>
      <c r="AI45" s="923"/>
      <c r="AJ45" s="922">
        <v>11320</v>
      </c>
      <c r="AK45" s="923"/>
      <c r="AL45" s="922">
        <v>11026</v>
      </c>
      <c r="AM45" s="923"/>
      <c r="AN45" s="922">
        <v>10549</v>
      </c>
      <c r="AO45" s="923"/>
      <c r="AP45" s="922">
        <v>10077</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12286</v>
      </c>
      <c r="CB45" s="923"/>
      <c r="CC45" s="922">
        <v>12412</v>
      </c>
      <c r="CD45" s="923"/>
      <c r="CE45" s="922">
        <v>12831</v>
      </c>
      <c r="CF45" s="923"/>
      <c r="CG45" s="922">
        <v>12753</v>
      </c>
      <c r="CH45" s="923"/>
      <c r="CI45" s="922">
        <v>12248</v>
      </c>
      <c r="CJ45" s="923"/>
      <c r="CK45" s="922">
        <v>11153</v>
      </c>
      <c r="CL45" s="923"/>
      <c r="CM45" s="922">
        <v>11080</v>
      </c>
      <c r="CN45" s="923"/>
      <c r="CO45" s="922">
        <v>10827</v>
      </c>
      <c r="CP45" s="923"/>
      <c r="CQ45" s="922">
        <v>10535</v>
      </c>
      <c r="CR45" s="923"/>
      <c r="CS45" s="922">
        <v>10099</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13781</v>
      </c>
      <c r="EE45" s="923"/>
      <c r="EF45" s="922">
        <v>14161</v>
      </c>
      <c r="EG45" s="923"/>
      <c r="EH45" s="922">
        <v>14714</v>
      </c>
      <c r="EI45" s="923"/>
      <c r="EJ45" s="922">
        <v>14623</v>
      </c>
      <c r="EK45" s="923"/>
      <c r="EL45" s="922">
        <v>13917</v>
      </c>
      <c r="EM45" s="923"/>
      <c r="EN45" s="922">
        <v>12763</v>
      </c>
      <c r="EO45" s="923"/>
      <c r="EP45" s="922">
        <v>11476</v>
      </c>
      <c r="EQ45" s="923"/>
      <c r="ER45" s="922">
        <v>10570</v>
      </c>
      <c r="ES45" s="923"/>
      <c r="ET45" s="922">
        <v>10080</v>
      </c>
      <c r="EU45" s="923"/>
      <c r="EV45" s="922">
        <v>9648</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3492</v>
      </c>
      <c r="FS45" s="927"/>
      <c r="FT45" s="926"/>
      <c r="FU45" s="928">
        <v>3582</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399</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515</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516</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12836</v>
      </c>
      <c r="Y47" s="955"/>
      <c r="Z47" s="954">
        <v>12843</v>
      </c>
      <c r="AA47" s="955"/>
      <c r="AB47" s="954">
        <v>13238</v>
      </c>
      <c r="AC47" s="955"/>
      <c r="AD47" s="954">
        <v>13238</v>
      </c>
      <c r="AE47" s="955"/>
      <c r="AF47" s="954">
        <v>12868</v>
      </c>
      <c r="AG47" s="955"/>
      <c r="AH47" s="954">
        <v>12083</v>
      </c>
      <c r="AI47" s="955"/>
      <c r="AJ47" s="954">
        <v>11886</v>
      </c>
      <c r="AK47" s="955"/>
      <c r="AL47" s="954">
        <v>11577</v>
      </c>
      <c r="AM47" s="955"/>
      <c r="AN47" s="954">
        <v>11076</v>
      </c>
      <c r="AO47" s="955"/>
      <c r="AP47" s="954">
        <v>10581</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12900</v>
      </c>
      <c r="CB47" s="955"/>
      <c r="CC47" s="954">
        <v>13033</v>
      </c>
      <c r="CD47" s="955"/>
      <c r="CE47" s="954">
        <v>13473</v>
      </c>
      <c r="CF47" s="955"/>
      <c r="CG47" s="954">
        <v>13391</v>
      </c>
      <c r="CH47" s="955"/>
      <c r="CI47" s="954">
        <v>12860</v>
      </c>
      <c r="CJ47" s="955"/>
      <c r="CK47" s="954">
        <v>11711</v>
      </c>
      <c r="CL47" s="955"/>
      <c r="CM47" s="954">
        <v>11634</v>
      </c>
      <c r="CN47" s="955"/>
      <c r="CO47" s="954">
        <v>11368</v>
      </c>
      <c r="CP47" s="955"/>
      <c r="CQ47" s="954">
        <v>11062</v>
      </c>
      <c r="CR47" s="955"/>
      <c r="CS47" s="954">
        <v>10604</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14470</v>
      </c>
      <c r="EE47" s="955"/>
      <c r="EF47" s="954">
        <v>14869</v>
      </c>
      <c r="EG47" s="955"/>
      <c r="EH47" s="954">
        <v>15450</v>
      </c>
      <c r="EI47" s="955"/>
      <c r="EJ47" s="954">
        <v>15354</v>
      </c>
      <c r="EK47" s="955"/>
      <c r="EL47" s="954">
        <v>14613</v>
      </c>
      <c r="EM47" s="955"/>
      <c r="EN47" s="954">
        <v>13401</v>
      </c>
      <c r="EO47" s="955"/>
      <c r="EP47" s="954">
        <v>12050</v>
      </c>
      <c r="EQ47" s="955"/>
      <c r="ER47" s="954">
        <v>11099</v>
      </c>
      <c r="ES47" s="955"/>
      <c r="ET47" s="954">
        <v>10584</v>
      </c>
      <c r="EU47" s="955"/>
      <c r="EV47" s="954">
        <v>10130</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3492</v>
      </c>
      <c r="FS47" s="963"/>
      <c r="FT47" s="962"/>
      <c r="FU47" s="964">
        <v>3582</v>
      </c>
      <c r="FV47" s="965">
        <v>12</v>
      </c>
      <c r="FW47" s="954">
        <v>13238</v>
      </c>
      <c r="FX47" s="966">
        <v>11</v>
      </c>
      <c r="FY47" s="954">
        <v>13473</v>
      </c>
      <c r="FZ47" s="966">
        <v>11</v>
      </c>
      <c r="GA47" s="954">
        <v>15450</v>
      </c>
      <c r="GB47" s="967" t="s">
        <v>330</v>
      </c>
      <c r="GC47" s="954">
        <v>15450</v>
      </c>
      <c r="GD47" s="967" t="s">
        <v>332</v>
      </c>
      <c r="GE47" s="968">
        <v>3582</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v>66</v>
      </c>
      <c r="E49" s="738">
        <v>29</v>
      </c>
      <c r="F49" s="982" t="s">
        <v>373</v>
      </c>
      <c r="G49" s="740"/>
      <c r="H49" s="546"/>
      <c r="I49" s="741"/>
      <c r="J49" s="546"/>
      <c r="K49" s="741"/>
      <c r="L49" s="546"/>
      <c r="M49" s="741"/>
      <c r="N49" s="546"/>
      <c r="O49" s="741"/>
      <c r="P49" s="546"/>
      <c r="Q49" s="741"/>
      <c r="R49" s="546"/>
      <c r="S49" s="741"/>
      <c r="T49" s="546"/>
      <c r="U49" s="741"/>
      <c r="V49" s="546"/>
      <c r="W49" s="741">
        <v>1</v>
      </c>
      <c r="X49" s="546">
        <v>1914</v>
      </c>
      <c r="Y49" s="741">
        <v>1</v>
      </c>
      <c r="Z49" s="546">
        <v>1914</v>
      </c>
      <c r="AA49" s="741">
        <v>1</v>
      </c>
      <c r="AB49" s="546">
        <v>1914</v>
      </c>
      <c r="AC49" s="741">
        <v>1</v>
      </c>
      <c r="AD49" s="546">
        <v>1914</v>
      </c>
      <c r="AE49" s="741">
        <v>1</v>
      </c>
      <c r="AF49" s="546">
        <v>1914</v>
      </c>
      <c r="AG49" s="741">
        <v>1</v>
      </c>
      <c r="AH49" s="546">
        <v>1914</v>
      </c>
      <c r="AI49" s="741">
        <v>1</v>
      </c>
      <c r="AJ49" s="546">
        <v>1914</v>
      </c>
      <c r="AK49" s="741">
        <v>1</v>
      </c>
      <c r="AL49" s="546">
        <v>1914</v>
      </c>
      <c r="AM49" s="741">
        <v>1</v>
      </c>
      <c r="AN49" s="546">
        <v>1914</v>
      </c>
      <c r="AO49" s="741">
        <v>1</v>
      </c>
      <c r="AP49" s="546">
        <v>1914</v>
      </c>
      <c r="AQ49" s="741"/>
      <c r="AR49" s="546"/>
      <c r="AS49" s="741"/>
      <c r="AT49" s="546"/>
      <c r="AU49" s="741"/>
      <c r="AV49" s="546"/>
      <c r="AW49" s="741"/>
      <c r="AX49" s="546"/>
      <c r="AY49" s="983"/>
      <c r="AZ49" s="984"/>
      <c r="BA49" s="985"/>
      <c r="BB49" s="986"/>
      <c r="BC49" s="917"/>
      <c r="BD49" s="980"/>
      <c r="BE49" s="735" t="s">
        <v>372</v>
      </c>
      <c r="BF49" s="981"/>
      <c r="BG49" s="737"/>
      <c r="BH49" s="738">
        <v>29</v>
      </c>
      <c r="BI49" s="982" t="s">
        <v>373</v>
      </c>
      <c r="BJ49" s="740"/>
      <c r="BK49" s="546"/>
      <c r="BL49" s="741"/>
      <c r="BM49" s="546"/>
      <c r="BN49" s="741"/>
      <c r="BO49" s="546"/>
      <c r="BP49" s="741"/>
      <c r="BQ49" s="546"/>
      <c r="BR49" s="741"/>
      <c r="BS49" s="546"/>
      <c r="BT49" s="741"/>
      <c r="BU49" s="546"/>
      <c r="BV49" s="741"/>
      <c r="BW49" s="546"/>
      <c r="BX49" s="741"/>
      <c r="BY49" s="546"/>
      <c r="BZ49" s="741">
        <v>1</v>
      </c>
      <c r="CA49" s="546">
        <v>1914</v>
      </c>
      <c r="CB49" s="741">
        <v>1</v>
      </c>
      <c r="CC49" s="546">
        <v>1914</v>
      </c>
      <c r="CD49" s="741">
        <v>1</v>
      </c>
      <c r="CE49" s="546">
        <v>1914</v>
      </c>
      <c r="CF49" s="741">
        <v>1</v>
      </c>
      <c r="CG49" s="546">
        <v>1914</v>
      </c>
      <c r="CH49" s="741">
        <v>1</v>
      </c>
      <c r="CI49" s="546">
        <v>1914</v>
      </c>
      <c r="CJ49" s="741">
        <v>1</v>
      </c>
      <c r="CK49" s="546">
        <v>1914</v>
      </c>
      <c r="CL49" s="741">
        <v>1</v>
      </c>
      <c r="CM49" s="546">
        <v>1914</v>
      </c>
      <c r="CN49" s="741">
        <v>1</v>
      </c>
      <c r="CO49" s="546">
        <v>1914</v>
      </c>
      <c r="CP49" s="741">
        <v>1</v>
      </c>
      <c r="CQ49" s="546">
        <v>1914</v>
      </c>
      <c r="CR49" s="741">
        <v>1</v>
      </c>
      <c r="CS49" s="546">
        <v>1914</v>
      </c>
      <c r="CT49" s="741"/>
      <c r="CU49" s="546"/>
      <c r="CV49" s="741"/>
      <c r="CW49" s="546"/>
      <c r="CX49" s="741"/>
      <c r="CY49" s="546"/>
      <c r="CZ49" s="741"/>
      <c r="DA49" s="546"/>
      <c r="DB49" s="983"/>
      <c r="DC49" s="984"/>
      <c r="DD49" s="985"/>
      <c r="DE49" s="986"/>
      <c r="DF49" s="917"/>
      <c r="DG49" s="980"/>
      <c r="DH49" s="735" t="s">
        <v>372</v>
      </c>
      <c r="DI49" s="981"/>
      <c r="DJ49" s="737"/>
      <c r="DK49" s="738">
        <v>29</v>
      </c>
      <c r="DL49" s="982" t="s">
        <v>373</v>
      </c>
      <c r="DM49" s="740"/>
      <c r="DN49" s="546"/>
      <c r="DO49" s="741"/>
      <c r="DP49" s="546"/>
      <c r="DQ49" s="741"/>
      <c r="DR49" s="546"/>
      <c r="DS49" s="741"/>
      <c r="DT49" s="546"/>
      <c r="DU49" s="741"/>
      <c r="DV49" s="546"/>
      <c r="DW49" s="741"/>
      <c r="DX49" s="546"/>
      <c r="DY49" s="741"/>
      <c r="DZ49" s="546"/>
      <c r="EA49" s="741"/>
      <c r="EB49" s="546"/>
      <c r="EC49" s="741">
        <v>1</v>
      </c>
      <c r="ED49" s="546">
        <v>1914</v>
      </c>
      <c r="EE49" s="741">
        <v>1</v>
      </c>
      <c r="EF49" s="546">
        <v>1914</v>
      </c>
      <c r="EG49" s="741">
        <v>1</v>
      </c>
      <c r="EH49" s="546">
        <v>1914</v>
      </c>
      <c r="EI49" s="741">
        <v>1</v>
      </c>
      <c r="EJ49" s="546">
        <v>1914</v>
      </c>
      <c r="EK49" s="741">
        <v>1</v>
      </c>
      <c r="EL49" s="546">
        <v>1914</v>
      </c>
      <c r="EM49" s="741">
        <v>1</v>
      </c>
      <c r="EN49" s="546">
        <v>1914</v>
      </c>
      <c r="EO49" s="741">
        <v>1</v>
      </c>
      <c r="EP49" s="546">
        <v>1914</v>
      </c>
      <c r="EQ49" s="741">
        <v>1</v>
      </c>
      <c r="ER49" s="546">
        <v>1914</v>
      </c>
      <c r="ES49" s="741">
        <v>1</v>
      </c>
      <c r="ET49" s="546">
        <v>1914</v>
      </c>
      <c r="EU49" s="741">
        <v>1</v>
      </c>
      <c r="EV49" s="546">
        <v>1914</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518</v>
      </c>
      <c r="GV50" s="567"/>
      <c r="GW50" s="567"/>
      <c r="GX50" s="567"/>
      <c r="GY50" s="602"/>
      <c r="GZ50" s="566"/>
      <c r="HA50" s="602">
        <v>0.6</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0.6</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1914</v>
      </c>
      <c r="Y52" s="1038"/>
      <c r="Z52" s="1037">
        <v>1914</v>
      </c>
      <c r="AA52" s="1038"/>
      <c r="AB52" s="1037">
        <v>1914</v>
      </c>
      <c r="AC52" s="1038"/>
      <c r="AD52" s="1037">
        <v>1914</v>
      </c>
      <c r="AE52" s="1038"/>
      <c r="AF52" s="1037">
        <v>1914</v>
      </c>
      <c r="AG52" s="1038"/>
      <c r="AH52" s="1037">
        <v>1914</v>
      </c>
      <c r="AI52" s="1038"/>
      <c r="AJ52" s="1037">
        <v>1914</v>
      </c>
      <c r="AK52" s="1038"/>
      <c r="AL52" s="1037">
        <v>1914</v>
      </c>
      <c r="AM52" s="1038"/>
      <c r="AN52" s="1037">
        <v>1914</v>
      </c>
      <c r="AO52" s="1038"/>
      <c r="AP52" s="1037">
        <v>1914</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1914</v>
      </c>
      <c r="CB52" s="1038"/>
      <c r="CC52" s="1037">
        <v>1914</v>
      </c>
      <c r="CD52" s="1038"/>
      <c r="CE52" s="1037">
        <v>1914</v>
      </c>
      <c r="CF52" s="1038"/>
      <c r="CG52" s="1037">
        <v>1914</v>
      </c>
      <c r="CH52" s="1038"/>
      <c r="CI52" s="1037">
        <v>1914</v>
      </c>
      <c r="CJ52" s="1038"/>
      <c r="CK52" s="1037">
        <v>1914</v>
      </c>
      <c r="CL52" s="1038"/>
      <c r="CM52" s="1037">
        <v>1914</v>
      </c>
      <c r="CN52" s="1038"/>
      <c r="CO52" s="1037">
        <v>1914</v>
      </c>
      <c r="CP52" s="1038"/>
      <c r="CQ52" s="1037">
        <v>1914</v>
      </c>
      <c r="CR52" s="1038"/>
      <c r="CS52" s="1037">
        <v>1914</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1914</v>
      </c>
      <c r="EE52" s="1038"/>
      <c r="EF52" s="1037">
        <v>1914</v>
      </c>
      <c r="EG52" s="1038"/>
      <c r="EH52" s="1037">
        <v>1914</v>
      </c>
      <c r="EI52" s="1038"/>
      <c r="EJ52" s="1037">
        <v>1914</v>
      </c>
      <c r="EK52" s="1038"/>
      <c r="EL52" s="1037">
        <v>1914</v>
      </c>
      <c r="EM52" s="1038"/>
      <c r="EN52" s="1037">
        <v>1914</v>
      </c>
      <c r="EO52" s="1038"/>
      <c r="EP52" s="1037">
        <v>1914</v>
      </c>
      <c r="EQ52" s="1038"/>
      <c r="ER52" s="1037">
        <v>1914</v>
      </c>
      <c r="ES52" s="1038"/>
      <c r="ET52" s="1037">
        <v>1914</v>
      </c>
      <c r="EU52" s="1038"/>
      <c r="EV52" s="1037">
        <v>1914</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12</v>
      </c>
      <c r="FW52" s="1048">
        <v>1914</v>
      </c>
      <c r="FX52" s="1049">
        <v>11</v>
      </c>
      <c r="FY52" s="1048">
        <v>1914</v>
      </c>
      <c r="FZ52" s="1049">
        <v>11</v>
      </c>
      <c r="GA52" s="1048">
        <v>1914</v>
      </c>
      <c r="GB52" s="1050" t="s">
        <v>330</v>
      </c>
      <c r="GC52" s="1051">
        <v>1914</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14750</v>
      </c>
      <c r="Y53" s="1065"/>
      <c r="Z53" s="1064">
        <v>14757</v>
      </c>
      <c r="AA53" s="1065"/>
      <c r="AB53" s="1064">
        <v>15152</v>
      </c>
      <c r="AC53" s="1065"/>
      <c r="AD53" s="1064">
        <v>15152</v>
      </c>
      <c r="AE53" s="1065"/>
      <c r="AF53" s="1064">
        <v>14782</v>
      </c>
      <c r="AG53" s="1065"/>
      <c r="AH53" s="1064">
        <v>13997</v>
      </c>
      <c r="AI53" s="1065"/>
      <c r="AJ53" s="1064">
        <v>13800</v>
      </c>
      <c r="AK53" s="1065"/>
      <c r="AL53" s="1064">
        <v>13491</v>
      </c>
      <c r="AM53" s="1065"/>
      <c r="AN53" s="1064">
        <v>12990</v>
      </c>
      <c r="AO53" s="1065"/>
      <c r="AP53" s="1064">
        <v>12495</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14814</v>
      </c>
      <c r="CB53" s="1065"/>
      <c r="CC53" s="1064">
        <v>14947</v>
      </c>
      <c r="CD53" s="1065"/>
      <c r="CE53" s="1064">
        <v>15387</v>
      </c>
      <c r="CF53" s="1065"/>
      <c r="CG53" s="1064">
        <v>15305</v>
      </c>
      <c r="CH53" s="1065"/>
      <c r="CI53" s="1064">
        <v>14774</v>
      </c>
      <c r="CJ53" s="1065"/>
      <c r="CK53" s="1064">
        <v>13625</v>
      </c>
      <c r="CL53" s="1065"/>
      <c r="CM53" s="1064">
        <v>13548</v>
      </c>
      <c r="CN53" s="1065"/>
      <c r="CO53" s="1064">
        <v>13282</v>
      </c>
      <c r="CP53" s="1065"/>
      <c r="CQ53" s="1064">
        <v>12976</v>
      </c>
      <c r="CR53" s="1065"/>
      <c r="CS53" s="1064">
        <v>12518</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16384</v>
      </c>
      <c r="EE53" s="1065"/>
      <c r="EF53" s="1064">
        <v>16783</v>
      </c>
      <c r="EG53" s="1065"/>
      <c r="EH53" s="1064">
        <v>17364</v>
      </c>
      <c r="EI53" s="1065"/>
      <c r="EJ53" s="1064">
        <v>17268</v>
      </c>
      <c r="EK53" s="1065"/>
      <c r="EL53" s="1064">
        <v>16527</v>
      </c>
      <c r="EM53" s="1065"/>
      <c r="EN53" s="1064">
        <v>15315</v>
      </c>
      <c r="EO53" s="1065"/>
      <c r="EP53" s="1064">
        <v>13964</v>
      </c>
      <c r="EQ53" s="1065"/>
      <c r="ER53" s="1064">
        <v>13013</v>
      </c>
      <c r="ES53" s="1065"/>
      <c r="ET53" s="1064">
        <v>12498</v>
      </c>
      <c r="EU53" s="1065"/>
      <c r="EV53" s="1064">
        <v>12044</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3492</v>
      </c>
      <c r="FS53" s="1072"/>
      <c r="FT53" s="1071"/>
      <c r="FU53" s="1073">
        <v>3582</v>
      </c>
      <c r="FV53" s="1074">
        <v>12</v>
      </c>
      <c r="FW53" s="1075">
        <v>15152</v>
      </c>
      <c r="FX53" s="1076">
        <v>11</v>
      </c>
      <c r="FY53" s="1075">
        <v>15387</v>
      </c>
      <c r="FZ53" s="1076">
        <v>11</v>
      </c>
      <c r="GA53" s="1075">
        <v>17364</v>
      </c>
      <c r="GB53" s="1077" t="s">
        <v>330</v>
      </c>
      <c r="GC53" s="1075">
        <v>17364</v>
      </c>
      <c r="GD53" s="1077" t="s">
        <v>332</v>
      </c>
      <c r="GE53" s="1078">
        <v>3582</v>
      </c>
      <c r="GF53" s="671"/>
      <c r="GG53" s="969"/>
      <c r="GH53" s="969"/>
      <c r="GI53" s="969"/>
      <c r="GJ53" s="932"/>
      <c r="GK53" s="404"/>
      <c r="GL53" s="1079">
        <v>10</v>
      </c>
      <c r="GM53" s="1080">
        <v>1</v>
      </c>
      <c r="GN53" s="1081">
        <v>0.92</v>
      </c>
      <c r="GO53" s="1082">
        <v>5.0999999999999996</v>
      </c>
      <c r="GP53" s="1082">
        <v>0</v>
      </c>
      <c r="GQ53" s="1083">
        <v>5.0999999999999996</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75.099999999999994</v>
      </c>
      <c r="Y54" s="1092"/>
      <c r="Z54" s="1091">
        <v>75.099999999999994</v>
      </c>
      <c r="AA54" s="1092"/>
      <c r="AB54" s="1091">
        <v>77.099999999999994</v>
      </c>
      <c r="AC54" s="1092"/>
      <c r="AD54" s="1091">
        <v>77.099999999999994</v>
      </c>
      <c r="AE54" s="1092"/>
      <c r="AF54" s="1091">
        <v>75.2</v>
      </c>
      <c r="AG54" s="1092"/>
      <c r="AH54" s="1091">
        <v>71.2</v>
      </c>
      <c r="AI54" s="1092"/>
      <c r="AJ54" s="1091">
        <v>70.2</v>
      </c>
      <c r="AK54" s="1092"/>
      <c r="AL54" s="1091">
        <v>68.7</v>
      </c>
      <c r="AM54" s="1092"/>
      <c r="AN54" s="1091">
        <v>66.099999999999994</v>
      </c>
      <c r="AO54" s="1092"/>
      <c r="AP54" s="1091">
        <v>63.6</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75.400000000000006</v>
      </c>
      <c r="CB54" s="1092"/>
      <c r="CC54" s="1091">
        <v>76.099999999999994</v>
      </c>
      <c r="CD54" s="1092"/>
      <c r="CE54" s="1091">
        <v>78.3</v>
      </c>
      <c r="CF54" s="1092"/>
      <c r="CG54" s="1091">
        <v>77.900000000000006</v>
      </c>
      <c r="CH54" s="1092"/>
      <c r="CI54" s="1091">
        <v>75.2</v>
      </c>
      <c r="CJ54" s="1092"/>
      <c r="CK54" s="1091">
        <v>69.3</v>
      </c>
      <c r="CL54" s="1092"/>
      <c r="CM54" s="1091">
        <v>68.900000000000006</v>
      </c>
      <c r="CN54" s="1092"/>
      <c r="CO54" s="1091">
        <v>67.599999999999994</v>
      </c>
      <c r="CP54" s="1092"/>
      <c r="CQ54" s="1091">
        <v>66</v>
      </c>
      <c r="CR54" s="1092"/>
      <c r="CS54" s="1091">
        <v>63.7</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83.4</v>
      </c>
      <c r="EE54" s="1092"/>
      <c r="EF54" s="1091">
        <v>85.4</v>
      </c>
      <c r="EG54" s="1092"/>
      <c r="EH54" s="1091">
        <v>88.4</v>
      </c>
      <c r="EI54" s="1092"/>
      <c r="EJ54" s="1091">
        <v>87.9</v>
      </c>
      <c r="EK54" s="1092"/>
      <c r="EL54" s="1091">
        <v>84.1</v>
      </c>
      <c r="EM54" s="1092"/>
      <c r="EN54" s="1091">
        <v>77.900000000000006</v>
      </c>
      <c r="EO54" s="1092"/>
      <c r="EP54" s="1091">
        <v>71.099999999999994</v>
      </c>
      <c r="EQ54" s="1092"/>
      <c r="ER54" s="1091">
        <v>66.2</v>
      </c>
      <c r="ES54" s="1092"/>
      <c r="ET54" s="1091">
        <v>63.6</v>
      </c>
      <c r="EU54" s="1092"/>
      <c r="EV54" s="1091">
        <v>61.3</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17.8</v>
      </c>
      <c r="FS54" s="1095"/>
      <c r="FT54" s="1092"/>
      <c r="FU54" s="1096">
        <v>18.2</v>
      </c>
      <c r="FV54" s="1095"/>
      <c r="FW54" s="1091">
        <f>IF(面積=0,0,ROUND(FW53/面積,1))</f>
        <v>77.099999999999994</v>
      </c>
      <c r="FX54" s="1095"/>
      <c r="FY54" s="1091">
        <f>IF(面積=0,0,ROUND(FY53/面積,1))</f>
        <v>78.3</v>
      </c>
      <c r="FZ54" s="1095"/>
      <c r="GA54" s="1091">
        <f>IF(面積=0,0,ROUND(GA53/面積,1))</f>
        <v>88.4</v>
      </c>
      <c r="GB54" s="1095"/>
      <c r="GC54" s="1091">
        <f>IF(面積=0,0,ROUND(GC53/面積,1))</f>
        <v>88.4</v>
      </c>
      <c r="GD54" s="1095"/>
      <c r="GE54" s="1093">
        <f>IF(面積=0,0,ROUND(GE53/面積,1))</f>
        <v>18.2</v>
      </c>
      <c r="GF54" s="671"/>
      <c r="GG54" s="916"/>
      <c r="GH54" s="916"/>
      <c r="GI54" s="916"/>
      <c r="GJ54" s="567"/>
      <c r="GK54" s="566"/>
      <c r="GL54" s="1079">
        <v>11</v>
      </c>
      <c r="GM54" s="1080">
        <v>2</v>
      </c>
      <c r="GN54" s="1081">
        <v>0.85</v>
      </c>
      <c r="GO54" s="1082">
        <v>4.7</v>
      </c>
      <c r="GP54" s="1082">
        <v>0</v>
      </c>
      <c r="GQ54" s="1083">
        <v>4.7</v>
      </c>
      <c r="GR54" s="517"/>
      <c r="GS54" s="567"/>
      <c r="GT54" s="840"/>
      <c r="GU54" s="1097" t="s">
        <v>486</v>
      </c>
      <c r="GV54" s="1097"/>
      <c r="GW54" s="1097"/>
      <c r="GX54" s="1097"/>
      <c r="GY54" s="758"/>
      <c r="GZ54" s="1098"/>
      <c r="HA54" s="1099">
        <v>0.6</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4.3</v>
      </c>
      <c r="GP55" s="1082">
        <v>0</v>
      </c>
      <c r="GQ55" s="1083">
        <v>4.3</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507</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4</v>
      </c>
      <c r="GP56" s="1082">
        <v>0</v>
      </c>
      <c r="GQ56" s="1083">
        <v>4</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3.6</v>
      </c>
      <c r="GP57" s="1082">
        <v>0</v>
      </c>
      <c r="GQ57" s="1083">
        <v>3.6</v>
      </c>
      <c r="GR57" s="932"/>
      <c r="GS57" s="516"/>
      <c r="GT57" s="1243"/>
      <c r="GU57" s="565"/>
      <c r="GV57" s="565"/>
      <c r="GW57" s="487"/>
      <c r="GX57" s="1246"/>
      <c r="GY57" s="566"/>
      <c r="GZ57" s="487"/>
      <c r="HA57" s="565"/>
      <c r="HB57" s="487"/>
      <c r="HC57" s="1031"/>
    </row>
    <row r="58" spans="1:212" ht="20.100000000000001" customHeight="1">
      <c r="A58" s="1141" t="s">
        <v>785</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870</v>
      </c>
      <c r="Y58" s="1147"/>
      <c r="Z58" s="1146">
        <v>870</v>
      </c>
      <c r="AA58" s="1147"/>
      <c r="AB58" s="1146">
        <v>870</v>
      </c>
      <c r="AC58" s="1147"/>
      <c r="AD58" s="1146">
        <v>870</v>
      </c>
      <c r="AE58" s="1147"/>
      <c r="AF58" s="1146">
        <v>870</v>
      </c>
      <c r="AG58" s="1147"/>
      <c r="AH58" s="1146">
        <v>870</v>
      </c>
      <c r="AI58" s="1147"/>
      <c r="AJ58" s="1146">
        <v>870</v>
      </c>
      <c r="AK58" s="1147"/>
      <c r="AL58" s="1146">
        <v>870</v>
      </c>
      <c r="AM58" s="1147"/>
      <c r="AN58" s="1146">
        <v>870</v>
      </c>
      <c r="AO58" s="1147"/>
      <c r="AP58" s="1146">
        <v>870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870</v>
      </c>
      <c r="CB58" s="1147"/>
      <c r="CC58" s="1146">
        <v>870</v>
      </c>
      <c r="CD58" s="1147"/>
      <c r="CE58" s="1146">
        <v>870</v>
      </c>
      <c r="CF58" s="1147"/>
      <c r="CG58" s="1146">
        <v>870</v>
      </c>
      <c r="CH58" s="1147"/>
      <c r="CI58" s="1146">
        <v>870</v>
      </c>
      <c r="CJ58" s="1147"/>
      <c r="CK58" s="1146">
        <v>870</v>
      </c>
      <c r="CL58" s="1147"/>
      <c r="CM58" s="1146">
        <v>870</v>
      </c>
      <c r="CN58" s="1147"/>
      <c r="CO58" s="1146">
        <v>870</v>
      </c>
      <c r="CP58" s="1147"/>
      <c r="CQ58" s="1146">
        <v>870</v>
      </c>
      <c r="CR58" s="1147"/>
      <c r="CS58" s="1146">
        <v>870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870</v>
      </c>
      <c r="EE58" s="1147"/>
      <c r="EF58" s="1146">
        <v>870</v>
      </c>
      <c r="EG58" s="1147"/>
      <c r="EH58" s="1146">
        <v>870</v>
      </c>
      <c r="EI58" s="1147"/>
      <c r="EJ58" s="1146">
        <v>870</v>
      </c>
      <c r="EK58" s="1147"/>
      <c r="EL58" s="1146">
        <v>870</v>
      </c>
      <c r="EM58" s="1147"/>
      <c r="EN58" s="1146">
        <v>870</v>
      </c>
      <c r="EO58" s="1147"/>
      <c r="EP58" s="1146">
        <v>870</v>
      </c>
      <c r="EQ58" s="1147"/>
      <c r="ER58" s="1146">
        <v>870</v>
      </c>
      <c r="ES58" s="1147"/>
      <c r="ET58" s="1146">
        <v>870</v>
      </c>
      <c r="EU58" s="1147"/>
      <c r="EV58" s="1146">
        <v>870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870</v>
      </c>
      <c r="FS58" s="1150"/>
      <c r="FT58" s="1149"/>
      <c r="FU58" s="1151">
        <v>870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3.4</v>
      </c>
      <c r="GP58" s="1082">
        <v>0</v>
      </c>
      <c r="GQ58" s="1083">
        <v>3.4</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t="s">
        <v>773</v>
      </c>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23.8</v>
      </c>
      <c r="X59" s="574">
        <v>6902</v>
      </c>
      <c r="Y59" s="1163">
        <v>24.7</v>
      </c>
      <c r="Z59" s="574">
        <v>7163</v>
      </c>
      <c r="AA59" s="1163">
        <v>25</v>
      </c>
      <c r="AB59" s="574">
        <v>7250</v>
      </c>
      <c r="AC59" s="1163">
        <v>26.3</v>
      </c>
      <c r="AD59" s="574">
        <v>7627</v>
      </c>
      <c r="AE59" s="1163">
        <v>25.9</v>
      </c>
      <c r="AF59" s="574">
        <v>7511</v>
      </c>
      <c r="AG59" s="1163">
        <v>25.2</v>
      </c>
      <c r="AH59" s="574">
        <v>7308</v>
      </c>
      <c r="AI59" s="1163">
        <v>25.2</v>
      </c>
      <c r="AJ59" s="574">
        <v>7308</v>
      </c>
      <c r="AK59" s="1163">
        <v>24.9</v>
      </c>
      <c r="AL59" s="574">
        <v>7221</v>
      </c>
      <c r="AM59" s="1163">
        <v>24.2</v>
      </c>
      <c r="AN59" s="574">
        <v>7018</v>
      </c>
      <c r="AO59" s="1163">
        <v>23.5</v>
      </c>
      <c r="AP59" s="574">
        <v>6815</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t="s">
        <v>773</v>
      </c>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18.7</v>
      </c>
      <c r="CA59" s="574">
        <v>5423</v>
      </c>
      <c r="CB59" s="1163">
        <v>19.5</v>
      </c>
      <c r="CC59" s="574">
        <v>5655</v>
      </c>
      <c r="CD59" s="1163">
        <v>20.399999999999999</v>
      </c>
      <c r="CE59" s="574">
        <v>5916</v>
      </c>
      <c r="CF59" s="1163">
        <v>21.1</v>
      </c>
      <c r="CG59" s="574">
        <v>6119</v>
      </c>
      <c r="CH59" s="1163">
        <v>21.5</v>
      </c>
      <c r="CI59" s="574">
        <v>6235</v>
      </c>
      <c r="CJ59" s="1163">
        <v>20.8</v>
      </c>
      <c r="CK59" s="574">
        <v>6032</v>
      </c>
      <c r="CL59" s="1163">
        <v>20.6</v>
      </c>
      <c r="CM59" s="574">
        <v>5974</v>
      </c>
      <c r="CN59" s="1163">
        <v>20.399999999999999</v>
      </c>
      <c r="CO59" s="574">
        <v>5916</v>
      </c>
      <c r="CP59" s="1163">
        <v>20.399999999999999</v>
      </c>
      <c r="CQ59" s="574">
        <v>5916</v>
      </c>
      <c r="CR59" s="1163">
        <v>19.7</v>
      </c>
      <c r="CS59" s="574">
        <v>5713</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t="s">
        <v>773</v>
      </c>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9.9</v>
      </c>
      <c r="ED59" s="574">
        <v>2871</v>
      </c>
      <c r="EE59" s="1163">
        <v>11</v>
      </c>
      <c r="EF59" s="574">
        <v>3190</v>
      </c>
      <c r="EG59" s="1163">
        <v>11.1</v>
      </c>
      <c r="EH59" s="574">
        <v>3219</v>
      </c>
      <c r="EI59" s="1163">
        <v>11.5</v>
      </c>
      <c r="EJ59" s="574">
        <v>3335</v>
      </c>
      <c r="EK59" s="1163">
        <v>11.2</v>
      </c>
      <c r="EL59" s="574">
        <v>3248</v>
      </c>
      <c r="EM59" s="1163">
        <v>10.7</v>
      </c>
      <c r="EN59" s="574">
        <v>3103</v>
      </c>
      <c r="EO59" s="1163">
        <v>10.5</v>
      </c>
      <c r="EP59" s="574">
        <v>3045</v>
      </c>
      <c r="EQ59" s="1163">
        <v>10.6</v>
      </c>
      <c r="ER59" s="574">
        <v>3074</v>
      </c>
      <c r="ES59" s="1163">
        <v>10.1</v>
      </c>
      <c r="ET59" s="574">
        <v>2929</v>
      </c>
      <c r="EU59" s="1163">
        <v>10.6</v>
      </c>
      <c r="EV59" s="574">
        <v>3074</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t="s">
        <v>773</v>
      </c>
      <c r="FN59" s="1161"/>
      <c r="FO59" s="1000"/>
      <c r="FP59" s="612">
        <v>9</v>
      </c>
      <c r="FQ59" s="1164">
        <v>28.7</v>
      </c>
      <c r="FR59" s="1165">
        <v>8323</v>
      </c>
      <c r="FS59" s="1166">
        <v>9</v>
      </c>
      <c r="FT59" s="1164">
        <v>25</v>
      </c>
      <c r="FU59" s="1167">
        <v>7250</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3.1</v>
      </c>
      <c r="GP59" s="1082">
        <v>0</v>
      </c>
      <c r="GQ59" s="1083">
        <v>3.1</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2.8</v>
      </c>
      <c r="GP60" s="1082">
        <v>0</v>
      </c>
      <c r="GQ60" s="1083">
        <v>2.8</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21652</v>
      </c>
      <c r="Y61" s="1184"/>
      <c r="Z61" s="1185">
        <v>21920</v>
      </c>
      <c r="AA61" s="1184"/>
      <c r="AB61" s="1185">
        <v>22402</v>
      </c>
      <c r="AC61" s="1184"/>
      <c r="AD61" s="1185">
        <v>22779</v>
      </c>
      <c r="AE61" s="1184"/>
      <c r="AF61" s="1185">
        <v>22293</v>
      </c>
      <c r="AG61" s="1184"/>
      <c r="AH61" s="1185">
        <v>21305</v>
      </c>
      <c r="AI61" s="1184"/>
      <c r="AJ61" s="1185">
        <v>21108</v>
      </c>
      <c r="AK61" s="1184"/>
      <c r="AL61" s="1185">
        <v>20712</v>
      </c>
      <c r="AM61" s="1184"/>
      <c r="AN61" s="1185">
        <v>20008</v>
      </c>
      <c r="AO61" s="1184"/>
      <c r="AP61" s="1185">
        <v>19310</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20237</v>
      </c>
      <c r="CB61" s="1184"/>
      <c r="CC61" s="1185">
        <v>20602</v>
      </c>
      <c r="CD61" s="1184"/>
      <c r="CE61" s="1185">
        <v>21303</v>
      </c>
      <c r="CF61" s="1184"/>
      <c r="CG61" s="1185">
        <v>21424</v>
      </c>
      <c r="CH61" s="1184"/>
      <c r="CI61" s="1185">
        <v>21009</v>
      </c>
      <c r="CJ61" s="1184"/>
      <c r="CK61" s="1185">
        <v>19657</v>
      </c>
      <c r="CL61" s="1184"/>
      <c r="CM61" s="1185">
        <v>19522</v>
      </c>
      <c r="CN61" s="1184"/>
      <c r="CO61" s="1185">
        <v>19198</v>
      </c>
      <c r="CP61" s="1184"/>
      <c r="CQ61" s="1185">
        <v>18892</v>
      </c>
      <c r="CR61" s="1184"/>
      <c r="CS61" s="1185">
        <v>18231</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19255</v>
      </c>
      <c r="EE61" s="1184"/>
      <c r="EF61" s="1185">
        <v>19973</v>
      </c>
      <c r="EG61" s="1184"/>
      <c r="EH61" s="1185">
        <v>20583</v>
      </c>
      <c r="EI61" s="1184"/>
      <c r="EJ61" s="1185">
        <v>20603</v>
      </c>
      <c r="EK61" s="1184"/>
      <c r="EL61" s="1185">
        <v>19775</v>
      </c>
      <c r="EM61" s="1184"/>
      <c r="EN61" s="1185">
        <v>18418</v>
      </c>
      <c r="EO61" s="1184"/>
      <c r="EP61" s="1185">
        <v>17009</v>
      </c>
      <c r="EQ61" s="1184"/>
      <c r="ER61" s="1185">
        <v>16087</v>
      </c>
      <c r="ES61" s="1184"/>
      <c r="ET61" s="1185">
        <v>15427</v>
      </c>
      <c r="EU61" s="1184"/>
      <c r="EV61" s="1185">
        <v>15118</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11815</v>
      </c>
      <c r="FS61" s="1190"/>
      <c r="FT61" s="1188"/>
      <c r="FU61" s="1191">
        <v>10832</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2.6</v>
      </c>
      <c r="GP61" s="1082">
        <v>0</v>
      </c>
      <c r="GQ61" s="1083">
        <v>2.6</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t="s">
        <v>777</v>
      </c>
      <c r="FN66" s="1221"/>
      <c r="FO66" s="1181"/>
      <c r="FP66" s="1187">
        <v>9</v>
      </c>
      <c r="FQ66" s="1222">
        <v>4.0999999999999996</v>
      </c>
      <c r="FR66" s="1223">
        <v>4.3</v>
      </c>
      <c r="FS66" s="1190">
        <v>9</v>
      </c>
      <c r="FT66" s="1222">
        <v>2.4</v>
      </c>
      <c r="FU66" s="1224">
        <v>2.5</v>
      </c>
      <c r="FV66" s="1225"/>
      <c r="FW66" s="1226"/>
      <c r="FX66" s="1226"/>
      <c r="FY66" s="1226"/>
      <c r="FZ66" s="1226"/>
      <c r="GA66" s="1226"/>
      <c r="GB66" s="1226"/>
      <c r="GC66" s="1227"/>
      <c r="GD66" s="1190"/>
      <c r="GE66" s="1228">
        <v>4.3</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t="s">
        <v>327</v>
      </c>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t="str">
        <f>$G68</f>
        <v>(C)室内全熱負荷以降の外気負荷等は、熱源容量計算用の基準別、時刻別の値です。外気負荷を含めた空調機の容量の計算等は別紙「ACU-2系統 空調機容量の計算」をご参照ください。</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t="str">
        <f>$G68</f>
        <v>(C)室内全熱負荷以降の外気負荷等は、熱源容量計算用の基準別、時刻別の値です。外気負荷を含めた空調機の容量の計算等は別紙「ACU-2系統 空調機容量の計算」をご参照ください。</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541</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545</v>
      </c>
      <c r="B3" s="385">
        <v>203</v>
      </c>
      <c r="C3" s="386" t="s">
        <v>336</v>
      </c>
      <c r="D3" s="387" t="s">
        <v>546</v>
      </c>
      <c r="E3" s="387"/>
      <c r="F3" s="387"/>
      <c r="G3" s="387"/>
      <c r="H3" s="387"/>
      <c r="I3" s="387"/>
      <c r="J3" s="388"/>
      <c r="K3" s="389" t="s">
        <v>338</v>
      </c>
      <c r="L3" s="390"/>
      <c r="M3" s="389" t="s">
        <v>339</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203</v>
      </c>
      <c r="BF3" s="386" t="s">
        <v>335</v>
      </c>
      <c r="BG3" s="398" t="s">
        <v>540</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203</v>
      </c>
      <c r="DI3" s="386" t="s">
        <v>335</v>
      </c>
      <c r="DJ3" s="398" t="s">
        <v>540</v>
      </c>
      <c r="DK3" s="398"/>
      <c r="DL3" s="398"/>
      <c r="DM3" s="398"/>
      <c r="DN3" s="398"/>
      <c r="DO3" s="398"/>
      <c r="DP3" s="399"/>
      <c r="DQ3" s="389" t="s">
        <v>338</v>
      </c>
      <c r="DR3" s="390"/>
      <c r="DS3" s="389" t="s">
        <v>339</v>
      </c>
      <c r="DT3" s="390"/>
      <c r="DU3" s="391" t="s">
        <v>758</v>
      </c>
      <c r="DV3" s="392"/>
      <c r="DW3" s="392"/>
      <c r="DX3" s="392"/>
      <c r="DY3" s="392"/>
      <c r="DZ3" s="392"/>
      <c r="EA3" s="392"/>
      <c r="EB3" s="393"/>
      <c r="EC3" s="394" t="s">
        <v>547</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203</v>
      </c>
      <c r="FL3" s="386" t="s">
        <v>335</v>
      </c>
      <c r="FM3" s="398" t="s">
        <v>540</v>
      </c>
      <c r="FN3" s="398"/>
      <c r="FO3" s="398"/>
      <c r="FP3" s="398"/>
      <c r="FQ3" s="398"/>
      <c r="FR3" s="398"/>
      <c r="FS3" s="399"/>
      <c r="FT3" s="389" t="s">
        <v>338</v>
      </c>
      <c r="FU3" s="390"/>
      <c r="FV3" s="389" t="s">
        <v>339</v>
      </c>
      <c r="FW3" s="390"/>
      <c r="FX3" s="391" t="s">
        <v>769</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520</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5.7</v>
      </c>
      <c r="E5" s="433" t="s">
        <v>350</v>
      </c>
      <c r="F5" s="434">
        <v>2.7</v>
      </c>
      <c r="G5" s="435" t="s">
        <v>351</v>
      </c>
      <c r="H5" s="436"/>
      <c r="I5" s="437">
        <v>15.4</v>
      </c>
      <c r="J5" s="438"/>
      <c r="K5" s="439">
        <v>0</v>
      </c>
      <c r="L5" s="440"/>
      <c r="M5" s="439">
        <v>0</v>
      </c>
      <c r="N5" s="440"/>
      <c r="O5" s="1470" t="s">
        <v>778</v>
      </c>
      <c r="P5" s="441"/>
      <c r="Q5" s="1471" t="s">
        <v>786</v>
      </c>
      <c r="R5" s="442"/>
      <c r="S5" s="1472" t="s">
        <v>787</v>
      </c>
      <c r="T5" s="443"/>
      <c r="U5" s="1473" t="s">
        <v>788</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5.7</v>
      </c>
      <c r="BH5" s="433" t="s">
        <v>350</v>
      </c>
      <c r="BI5" s="434">
        <v>2.7</v>
      </c>
      <c r="BJ5" s="435" t="s">
        <v>351</v>
      </c>
      <c r="BK5" s="436"/>
      <c r="BL5" s="437">
        <v>15.4</v>
      </c>
      <c r="BM5" s="438"/>
      <c r="BN5" s="439">
        <v>0</v>
      </c>
      <c r="BO5" s="440"/>
      <c r="BP5" s="439">
        <v>0</v>
      </c>
      <c r="BQ5" s="440"/>
      <c r="BR5" s="1470" t="s">
        <v>762</v>
      </c>
      <c r="BS5" s="441"/>
      <c r="BT5" s="1471" t="s">
        <v>786</v>
      </c>
      <c r="BU5" s="442"/>
      <c r="BV5" s="1472" t="s">
        <v>787</v>
      </c>
      <c r="BW5" s="443"/>
      <c r="BX5" s="1473" t="s">
        <v>788</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5.7</v>
      </c>
      <c r="DK5" s="433" t="s">
        <v>350</v>
      </c>
      <c r="DL5" s="434">
        <v>2.7</v>
      </c>
      <c r="DM5" s="435" t="s">
        <v>351</v>
      </c>
      <c r="DN5" s="436"/>
      <c r="DO5" s="437">
        <v>15.4</v>
      </c>
      <c r="DP5" s="438"/>
      <c r="DQ5" s="439">
        <v>0</v>
      </c>
      <c r="DR5" s="440"/>
      <c r="DS5" s="439">
        <v>0</v>
      </c>
      <c r="DT5" s="440"/>
      <c r="DU5" s="1470" t="s">
        <v>762</v>
      </c>
      <c r="DV5" s="441"/>
      <c r="DW5" s="1471" t="s">
        <v>786</v>
      </c>
      <c r="DX5" s="442"/>
      <c r="DY5" s="1472" t="s">
        <v>787</v>
      </c>
      <c r="DZ5" s="443"/>
      <c r="EA5" s="1473" t="s">
        <v>788</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5.7</v>
      </c>
      <c r="FN5" s="433" t="s">
        <v>521</v>
      </c>
      <c r="FO5" s="434">
        <v>2.7</v>
      </c>
      <c r="FP5" s="435" t="s">
        <v>548</v>
      </c>
      <c r="FQ5" s="436"/>
      <c r="FR5" s="437">
        <v>15.4</v>
      </c>
      <c r="FS5" s="438"/>
      <c r="FT5" s="439">
        <v>0</v>
      </c>
      <c r="FU5" s="440"/>
      <c r="FV5" s="439">
        <v>0</v>
      </c>
      <c r="FW5" s="440"/>
      <c r="FX5" s="1470" t="s">
        <v>789</v>
      </c>
      <c r="FY5" s="441"/>
      <c r="FZ5" s="1471" t="s">
        <v>790</v>
      </c>
      <c r="GA5" s="442"/>
      <c r="GB5" s="1472" t="s">
        <v>791</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522</v>
      </c>
      <c r="E9" s="522" t="s">
        <v>523</v>
      </c>
      <c r="F9" s="523" t="s">
        <v>265</v>
      </c>
      <c r="G9" s="524" t="s">
        <v>524</v>
      </c>
      <c r="H9" s="525" t="s">
        <v>525</v>
      </c>
      <c r="I9" s="526" t="s">
        <v>268</v>
      </c>
      <c r="J9" s="525" t="s">
        <v>525</v>
      </c>
      <c r="K9" s="526" t="s">
        <v>268</v>
      </c>
      <c r="L9" s="525" t="s">
        <v>525</v>
      </c>
      <c r="M9" s="526" t="s">
        <v>268</v>
      </c>
      <c r="N9" s="525" t="s">
        <v>525</v>
      </c>
      <c r="O9" s="526" t="s">
        <v>268</v>
      </c>
      <c r="P9" s="525" t="s">
        <v>525</v>
      </c>
      <c r="Q9" s="526" t="s">
        <v>268</v>
      </c>
      <c r="R9" s="525" t="s">
        <v>525</v>
      </c>
      <c r="S9" s="526" t="s">
        <v>268</v>
      </c>
      <c r="T9" s="525" t="s">
        <v>525</v>
      </c>
      <c r="U9" s="526" t="s">
        <v>268</v>
      </c>
      <c r="V9" s="525" t="s">
        <v>525</v>
      </c>
      <c r="W9" s="526" t="s">
        <v>268</v>
      </c>
      <c r="X9" s="525" t="s">
        <v>525</v>
      </c>
      <c r="Y9" s="526" t="s">
        <v>268</v>
      </c>
      <c r="Z9" s="525" t="s">
        <v>525</v>
      </c>
      <c r="AA9" s="526" t="s">
        <v>268</v>
      </c>
      <c r="AB9" s="525" t="s">
        <v>525</v>
      </c>
      <c r="AC9" s="526" t="s">
        <v>268</v>
      </c>
      <c r="AD9" s="525" t="s">
        <v>525</v>
      </c>
      <c r="AE9" s="526" t="s">
        <v>268</v>
      </c>
      <c r="AF9" s="525" t="s">
        <v>525</v>
      </c>
      <c r="AG9" s="526" t="s">
        <v>268</v>
      </c>
      <c r="AH9" s="525" t="s">
        <v>525</v>
      </c>
      <c r="AI9" s="526" t="s">
        <v>268</v>
      </c>
      <c r="AJ9" s="525" t="s">
        <v>525</v>
      </c>
      <c r="AK9" s="526" t="s">
        <v>268</v>
      </c>
      <c r="AL9" s="525" t="s">
        <v>525</v>
      </c>
      <c r="AM9" s="526" t="s">
        <v>268</v>
      </c>
      <c r="AN9" s="525" t="s">
        <v>525</v>
      </c>
      <c r="AO9" s="526" t="s">
        <v>268</v>
      </c>
      <c r="AP9" s="525" t="s">
        <v>525</v>
      </c>
      <c r="AQ9" s="526" t="s">
        <v>268</v>
      </c>
      <c r="AR9" s="525" t="s">
        <v>525</v>
      </c>
      <c r="AS9" s="526" t="s">
        <v>268</v>
      </c>
      <c r="AT9" s="525" t="s">
        <v>525</v>
      </c>
      <c r="AU9" s="526" t="s">
        <v>268</v>
      </c>
      <c r="AV9" s="525" t="s">
        <v>525</v>
      </c>
      <c r="AW9" s="526" t="s">
        <v>268</v>
      </c>
      <c r="AX9" s="525" t="s">
        <v>525</v>
      </c>
      <c r="AY9" s="526" t="s">
        <v>268</v>
      </c>
      <c r="AZ9" s="525" t="s">
        <v>525</v>
      </c>
      <c r="BA9" s="526" t="s">
        <v>268</v>
      </c>
      <c r="BB9" s="527" t="s">
        <v>271</v>
      </c>
      <c r="BC9" s="490"/>
      <c r="BD9" s="519" t="s">
        <v>260</v>
      </c>
      <c r="BE9" s="520" t="s">
        <v>261</v>
      </c>
      <c r="BF9" s="521" t="s">
        <v>262</v>
      </c>
      <c r="BG9" s="521" t="s">
        <v>522</v>
      </c>
      <c r="BH9" s="522" t="s">
        <v>523</v>
      </c>
      <c r="BI9" s="523" t="s">
        <v>265</v>
      </c>
      <c r="BJ9" s="524" t="s">
        <v>524</v>
      </c>
      <c r="BK9" s="525" t="s">
        <v>525</v>
      </c>
      <c r="BL9" s="526" t="s">
        <v>268</v>
      </c>
      <c r="BM9" s="525" t="s">
        <v>525</v>
      </c>
      <c r="BN9" s="526" t="s">
        <v>268</v>
      </c>
      <c r="BO9" s="525" t="s">
        <v>525</v>
      </c>
      <c r="BP9" s="526" t="s">
        <v>268</v>
      </c>
      <c r="BQ9" s="525" t="s">
        <v>525</v>
      </c>
      <c r="BR9" s="526" t="s">
        <v>268</v>
      </c>
      <c r="BS9" s="525" t="s">
        <v>525</v>
      </c>
      <c r="BT9" s="526" t="s">
        <v>268</v>
      </c>
      <c r="BU9" s="525" t="s">
        <v>525</v>
      </c>
      <c r="BV9" s="526" t="s">
        <v>268</v>
      </c>
      <c r="BW9" s="525" t="s">
        <v>525</v>
      </c>
      <c r="BX9" s="526" t="s">
        <v>268</v>
      </c>
      <c r="BY9" s="525" t="s">
        <v>525</v>
      </c>
      <c r="BZ9" s="526" t="s">
        <v>268</v>
      </c>
      <c r="CA9" s="525" t="s">
        <v>525</v>
      </c>
      <c r="CB9" s="526" t="s">
        <v>268</v>
      </c>
      <c r="CC9" s="525" t="s">
        <v>525</v>
      </c>
      <c r="CD9" s="526" t="s">
        <v>268</v>
      </c>
      <c r="CE9" s="525" t="s">
        <v>525</v>
      </c>
      <c r="CF9" s="526" t="s">
        <v>268</v>
      </c>
      <c r="CG9" s="525" t="s">
        <v>525</v>
      </c>
      <c r="CH9" s="526" t="s">
        <v>268</v>
      </c>
      <c r="CI9" s="525" t="s">
        <v>525</v>
      </c>
      <c r="CJ9" s="526" t="s">
        <v>268</v>
      </c>
      <c r="CK9" s="525" t="s">
        <v>525</v>
      </c>
      <c r="CL9" s="526" t="s">
        <v>268</v>
      </c>
      <c r="CM9" s="525" t="s">
        <v>525</v>
      </c>
      <c r="CN9" s="526" t="s">
        <v>268</v>
      </c>
      <c r="CO9" s="525" t="s">
        <v>525</v>
      </c>
      <c r="CP9" s="526" t="s">
        <v>268</v>
      </c>
      <c r="CQ9" s="525" t="s">
        <v>525</v>
      </c>
      <c r="CR9" s="526" t="s">
        <v>268</v>
      </c>
      <c r="CS9" s="525" t="s">
        <v>525</v>
      </c>
      <c r="CT9" s="526" t="s">
        <v>268</v>
      </c>
      <c r="CU9" s="525" t="s">
        <v>525</v>
      </c>
      <c r="CV9" s="526" t="s">
        <v>268</v>
      </c>
      <c r="CW9" s="525" t="s">
        <v>525</v>
      </c>
      <c r="CX9" s="526" t="s">
        <v>268</v>
      </c>
      <c r="CY9" s="525" t="s">
        <v>525</v>
      </c>
      <c r="CZ9" s="526" t="s">
        <v>268</v>
      </c>
      <c r="DA9" s="525" t="s">
        <v>525</v>
      </c>
      <c r="DB9" s="526" t="s">
        <v>268</v>
      </c>
      <c r="DC9" s="525" t="s">
        <v>525</v>
      </c>
      <c r="DD9" s="526" t="s">
        <v>268</v>
      </c>
      <c r="DE9" s="527" t="s">
        <v>271</v>
      </c>
      <c r="DF9" s="490"/>
      <c r="DG9" s="519" t="s">
        <v>260</v>
      </c>
      <c r="DH9" s="520" t="s">
        <v>261</v>
      </c>
      <c r="DI9" s="521" t="s">
        <v>262</v>
      </c>
      <c r="DJ9" s="521" t="s">
        <v>522</v>
      </c>
      <c r="DK9" s="522" t="s">
        <v>523</v>
      </c>
      <c r="DL9" s="523" t="s">
        <v>265</v>
      </c>
      <c r="DM9" s="524" t="s">
        <v>524</v>
      </c>
      <c r="DN9" s="525" t="s">
        <v>525</v>
      </c>
      <c r="DO9" s="526" t="s">
        <v>268</v>
      </c>
      <c r="DP9" s="525" t="s">
        <v>525</v>
      </c>
      <c r="DQ9" s="526" t="s">
        <v>268</v>
      </c>
      <c r="DR9" s="525" t="s">
        <v>525</v>
      </c>
      <c r="DS9" s="526" t="s">
        <v>268</v>
      </c>
      <c r="DT9" s="525" t="s">
        <v>525</v>
      </c>
      <c r="DU9" s="526" t="s">
        <v>268</v>
      </c>
      <c r="DV9" s="525" t="s">
        <v>525</v>
      </c>
      <c r="DW9" s="526" t="s">
        <v>268</v>
      </c>
      <c r="DX9" s="525" t="s">
        <v>525</v>
      </c>
      <c r="DY9" s="526" t="s">
        <v>268</v>
      </c>
      <c r="DZ9" s="525" t="s">
        <v>525</v>
      </c>
      <c r="EA9" s="526" t="s">
        <v>268</v>
      </c>
      <c r="EB9" s="525" t="s">
        <v>525</v>
      </c>
      <c r="EC9" s="526" t="s">
        <v>268</v>
      </c>
      <c r="ED9" s="525" t="s">
        <v>525</v>
      </c>
      <c r="EE9" s="526" t="s">
        <v>268</v>
      </c>
      <c r="EF9" s="525" t="s">
        <v>525</v>
      </c>
      <c r="EG9" s="526" t="s">
        <v>268</v>
      </c>
      <c r="EH9" s="525" t="s">
        <v>525</v>
      </c>
      <c r="EI9" s="526" t="s">
        <v>268</v>
      </c>
      <c r="EJ9" s="525" t="s">
        <v>525</v>
      </c>
      <c r="EK9" s="526" t="s">
        <v>268</v>
      </c>
      <c r="EL9" s="525" t="s">
        <v>525</v>
      </c>
      <c r="EM9" s="526" t="s">
        <v>268</v>
      </c>
      <c r="EN9" s="525" t="s">
        <v>525</v>
      </c>
      <c r="EO9" s="526" t="s">
        <v>268</v>
      </c>
      <c r="EP9" s="525" t="s">
        <v>525</v>
      </c>
      <c r="EQ9" s="526" t="s">
        <v>268</v>
      </c>
      <c r="ER9" s="525" t="s">
        <v>525</v>
      </c>
      <c r="ES9" s="526" t="s">
        <v>268</v>
      </c>
      <c r="ET9" s="525" t="s">
        <v>525</v>
      </c>
      <c r="EU9" s="526" t="s">
        <v>268</v>
      </c>
      <c r="EV9" s="525" t="s">
        <v>525</v>
      </c>
      <c r="EW9" s="526" t="s">
        <v>268</v>
      </c>
      <c r="EX9" s="525" t="s">
        <v>525</v>
      </c>
      <c r="EY9" s="526" t="s">
        <v>268</v>
      </c>
      <c r="EZ9" s="525" t="s">
        <v>525</v>
      </c>
      <c r="FA9" s="526" t="s">
        <v>268</v>
      </c>
      <c r="FB9" s="525" t="s">
        <v>525</v>
      </c>
      <c r="FC9" s="526" t="s">
        <v>268</v>
      </c>
      <c r="FD9" s="525" t="s">
        <v>525</v>
      </c>
      <c r="FE9" s="526" t="s">
        <v>268</v>
      </c>
      <c r="FF9" s="525" t="s">
        <v>525</v>
      </c>
      <c r="FG9" s="526" t="s">
        <v>268</v>
      </c>
      <c r="FH9" s="527" t="s">
        <v>271</v>
      </c>
      <c r="FI9" s="528"/>
      <c r="FJ9" s="529" t="s">
        <v>260</v>
      </c>
      <c r="FK9" s="520" t="s">
        <v>261</v>
      </c>
      <c r="FL9" s="521" t="s">
        <v>262</v>
      </c>
      <c r="FM9" s="521" t="s">
        <v>522</v>
      </c>
      <c r="FN9" s="522" t="s">
        <v>523</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c r="C10" s="541"/>
      <c r="D10" s="542"/>
      <c r="E10" s="540"/>
      <c r="F10" s="541"/>
      <c r="G10" s="543"/>
      <c r="H10" s="544"/>
      <c r="I10" s="545"/>
      <c r="J10" s="546"/>
      <c r="K10" s="547"/>
      <c r="L10" s="546"/>
      <c r="M10" s="547"/>
      <c r="N10" s="546"/>
      <c r="O10" s="547"/>
      <c r="P10" s="546"/>
      <c r="Q10" s="547"/>
      <c r="R10" s="546"/>
      <c r="S10" s="547"/>
      <c r="T10" s="546"/>
      <c r="U10" s="547"/>
      <c r="V10" s="546"/>
      <c r="W10" s="547"/>
      <c r="X10" s="546"/>
      <c r="Y10" s="547"/>
      <c r="Z10" s="546"/>
      <c r="AA10" s="547"/>
      <c r="AB10" s="546"/>
      <c r="AC10" s="547"/>
      <c r="AD10" s="546"/>
      <c r="AE10" s="547"/>
      <c r="AF10" s="546"/>
      <c r="AG10" s="547"/>
      <c r="AH10" s="546"/>
      <c r="AI10" s="547"/>
      <c r="AJ10" s="546"/>
      <c r="AK10" s="547"/>
      <c r="AL10" s="546"/>
      <c r="AM10" s="547"/>
      <c r="AN10" s="546"/>
      <c r="AO10" s="547"/>
      <c r="AP10" s="546"/>
      <c r="AQ10" s="547"/>
      <c r="AR10" s="546"/>
      <c r="AS10" s="547"/>
      <c r="AT10" s="546"/>
      <c r="AU10" s="547"/>
      <c r="AV10" s="546"/>
      <c r="AW10" s="547"/>
      <c r="AX10" s="546"/>
      <c r="AY10" s="547"/>
      <c r="AZ10" s="546"/>
      <c r="BA10" s="547"/>
      <c r="BB10" s="548"/>
      <c r="BC10" s="549"/>
      <c r="BD10" s="539"/>
      <c r="BE10" s="540"/>
      <c r="BF10" s="541"/>
      <c r="BG10" s="542"/>
      <c r="BH10" s="540"/>
      <c r="BI10" s="541"/>
      <c r="BJ10" s="543"/>
      <c r="BK10" s="544"/>
      <c r="BL10" s="545"/>
      <c r="BM10" s="546"/>
      <c r="BN10" s="547"/>
      <c r="BO10" s="546"/>
      <c r="BP10" s="547"/>
      <c r="BQ10" s="546"/>
      <c r="BR10" s="547"/>
      <c r="BS10" s="546"/>
      <c r="BT10" s="547"/>
      <c r="BU10" s="546"/>
      <c r="BV10" s="547"/>
      <c r="BW10" s="546"/>
      <c r="BX10" s="547"/>
      <c r="BY10" s="546"/>
      <c r="BZ10" s="547"/>
      <c r="CA10" s="546"/>
      <c r="CB10" s="547"/>
      <c r="CC10" s="546"/>
      <c r="CD10" s="547"/>
      <c r="CE10" s="546"/>
      <c r="CF10" s="547"/>
      <c r="CG10" s="546"/>
      <c r="CH10" s="547"/>
      <c r="CI10" s="546"/>
      <c r="CJ10" s="547"/>
      <c r="CK10" s="546"/>
      <c r="CL10" s="547"/>
      <c r="CM10" s="546"/>
      <c r="CN10" s="547"/>
      <c r="CO10" s="546"/>
      <c r="CP10" s="547"/>
      <c r="CQ10" s="546"/>
      <c r="CR10" s="547"/>
      <c r="CS10" s="546"/>
      <c r="CT10" s="547"/>
      <c r="CU10" s="546"/>
      <c r="CV10" s="547"/>
      <c r="CW10" s="546"/>
      <c r="CX10" s="547"/>
      <c r="CY10" s="546"/>
      <c r="CZ10" s="547"/>
      <c r="DA10" s="546"/>
      <c r="DB10" s="547"/>
      <c r="DC10" s="546"/>
      <c r="DD10" s="547"/>
      <c r="DE10" s="548"/>
      <c r="DF10" s="549"/>
      <c r="DG10" s="539"/>
      <c r="DH10" s="540"/>
      <c r="DI10" s="541"/>
      <c r="DJ10" s="542"/>
      <c r="DK10" s="540"/>
      <c r="DL10" s="541"/>
      <c r="DM10" s="543"/>
      <c r="DN10" s="544"/>
      <c r="DO10" s="545"/>
      <c r="DP10" s="546"/>
      <c r="DQ10" s="547"/>
      <c r="DR10" s="546"/>
      <c r="DS10" s="547"/>
      <c r="DT10" s="546"/>
      <c r="DU10" s="547"/>
      <c r="DV10" s="546"/>
      <c r="DW10" s="547"/>
      <c r="DX10" s="546"/>
      <c r="DY10" s="547"/>
      <c r="DZ10" s="546"/>
      <c r="EA10" s="547"/>
      <c r="EB10" s="546"/>
      <c r="EC10" s="547"/>
      <c r="ED10" s="546"/>
      <c r="EE10" s="547"/>
      <c r="EF10" s="546"/>
      <c r="EG10" s="547"/>
      <c r="EH10" s="546"/>
      <c r="EI10" s="547"/>
      <c r="EJ10" s="546"/>
      <c r="EK10" s="547"/>
      <c r="EL10" s="546"/>
      <c r="EM10" s="547"/>
      <c r="EN10" s="546"/>
      <c r="EO10" s="547"/>
      <c r="EP10" s="546"/>
      <c r="EQ10" s="547"/>
      <c r="ER10" s="546"/>
      <c r="ES10" s="547"/>
      <c r="ET10" s="546"/>
      <c r="EU10" s="547"/>
      <c r="EV10" s="546"/>
      <c r="EW10" s="547"/>
      <c r="EX10" s="546"/>
      <c r="EY10" s="547"/>
      <c r="EZ10" s="546"/>
      <c r="FA10" s="547"/>
      <c r="FB10" s="546"/>
      <c r="FC10" s="547"/>
      <c r="FD10" s="546"/>
      <c r="FE10" s="547"/>
      <c r="FF10" s="546"/>
      <c r="FG10" s="547"/>
      <c r="FH10" s="548"/>
      <c r="FI10" s="550"/>
      <c r="FJ10" s="551"/>
      <c r="FK10" s="540"/>
      <c r="FL10" s="541"/>
      <c r="FM10" s="542"/>
      <c r="FN10" s="540"/>
      <c r="FO10" s="541"/>
      <c r="FP10" s="552"/>
      <c r="FQ10" s="545"/>
      <c r="FR10" s="544" t="s">
        <v>494</v>
      </c>
      <c r="FS10" s="553"/>
      <c r="FT10" s="545"/>
      <c r="FU10" s="554" t="s">
        <v>526</v>
      </c>
      <c r="FV10" s="1255" t="s">
        <v>276</v>
      </c>
      <c r="FW10" s="1282"/>
      <c r="FX10" s="1283" t="s">
        <v>277</v>
      </c>
      <c r="FY10" s="1284"/>
      <c r="FZ10" s="1285" t="s">
        <v>278</v>
      </c>
      <c r="GA10" s="1286"/>
      <c r="GB10" s="1287" t="s">
        <v>543</v>
      </c>
      <c r="GC10" s="1288"/>
      <c r="GD10" s="563" t="s">
        <v>544</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526</v>
      </c>
      <c r="FS11" s="578"/>
      <c r="FT11" s="573"/>
      <c r="FU11" s="579" t="s">
        <v>526</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494</v>
      </c>
      <c r="FS12" s="578"/>
      <c r="FT12" s="573"/>
      <c r="FU12" s="579" t="s">
        <v>494</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527</v>
      </c>
      <c r="FS13" s="613"/>
      <c r="FT13" s="608"/>
      <c r="FU13" s="614" t="s">
        <v>494</v>
      </c>
      <c r="FV13" s="580"/>
      <c r="FW13" s="581"/>
      <c r="FX13" s="582"/>
      <c r="FY13" s="583"/>
      <c r="FZ13" s="584"/>
      <c r="GA13" s="585"/>
      <c r="GB13" s="586"/>
      <c r="GC13" s="587"/>
      <c r="GD13" s="586"/>
      <c r="GE13" s="588"/>
      <c r="GF13" s="486"/>
      <c r="GG13" s="589"/>
      <c r="GH13" s="589"/>
      <c r="GI13" s="589"/>
      <c r="GJ13" s="404"/>
      <c r="GK13" s="615"/>
      <c r="GL13" s="616"/>
      <c r="GM13" s="617"/>
      <c r="GN13" s="618"/>
      <c r="GO13" s="619"/>
      <c r="GP13" s="619"/>
      <c r="GQ13" s="620">
        <v>0</v>
      </c>
      <c r="GR13" s="621">
        <v>0</v>
      </c>
      <c r="GS13" s="565"/>
      <c r="GT13" s="404"/>
      <c r="GU13" s="615"/>
      <c r="GV13" s="616"/>
      <c r="GW13" s="622"/>
      <c r="GX13" s="623"/>
      <c r="GY13" s="624"/>
      <c r="GZ13" s="625"/>
      <c r="HA13" s="626">
        <v>0</v>
      </c>
      <c r="HB13" s="627"/>
      <c r="HC13" s="517"/>
      <c r="HD13" s="782"/>
      <c r="HE13" s="428"/>
      <c r="HF13" s="377"/>
      <c r="HG13" s="377"/>
    </row>
    <row r="14" spans="1:353" ht="20.100000000000001" customHeight="1">
      <c r="A14" s="628"/>
      <c r="B14" s="629"/>
      <c r="C14" s="629"/>
      <c r="D14" s="630" t="s">
        <v>528</v>
      </c>
      <c r="E14" s="629"/>
      <c r="F14" s="629"/>
      <c r="G14" s="1263"/>
      <c r="H14" s="1264">
        <f>SUM(H10:H13)</f>
        <v>0</v>
      </c>
      <c r="I14" s="1271"/>
      <c r="J14" s="1264">
        <f>SUM(J10:J13)</f>
        <v>0</v>
      </c>
      <c r="K14" s="1271"/>
      <c r="L14" s="1264">
        <f>SUM(L10:L13)</f>
        <v>0</v>
      </c>
      <c r="M14" s="1271"/>
      <c r="N14" s="1264">
        <f>SUM(N10:N13)</f>
        <v>0</v>
      </c>
      <c r="O14" s="1271"/>
      <c r="P14" s="1264">
        <f>SUM(P10:P13)</f>
        <v>0</v>
      </c>
      <c r="Q14" s="1271"/>
      <c r="R14" s="1264">
        <f>SUM(R10:R13)</f>
        <v>0</v>
      </c>
      <c r="S14" s="1271"/>
      <c r="T14" s="1264">
        <f>SUM(T10:T13)</f>
        <v>0</v>
      </c>
      <c r="U14" s="1271"/>
      <c r="V14" s="1264">
        <f>SUM(V10:V13)</f>
        <v>0</v>
      </c>
      <c r="W14" s="1271"/>
      <c r="X14" s="1264">
        <f>SUM(X10:X13)</f>
        <v>0</v>
      </c>
      <c r="Y14" s="1271"/>
      <c r="Z14" s="1264">
        <f>SUM(Z10:Z13)</f>
        <v>0</v>
      </c>
      <c r="AA14" s="1271"/>
      <c r="AB14" s="1264">
        <f>SUM(AB10:AB13)</f>
        <v>0</v>
      </c>
      <c r="AC14" s="1271"/>
      <c r="AD14" s="1264">
        <f>SUM(AD10:AD13)</f>
        <v>0</v>
      </c>
      <c r="AE14" s="1271"/>
      <c r="AF14" s="1264">
        <f>SUM(AF10:AF13)</f>
        <v>0</v>
      </c>
      <c r="AG14" s="1271"/>
      <c r="AH14" s="1264">
        <f>SUM(AH10:AH13)</f>
        <v>0</v>
      </c>
      <c r="AI14" s="1271"/>
      <c r="AJ14" s="1264">
        <f>SUM(AJ10:AJ13)</f>
        <v>0</v>
      </c>
      <c r="AK14" s="1271"/>
      <c r="AL14" s="1264">
        <f>SUM(AL10:AL13)</f>
        <v>0</v>
      </c>
      <c r="AM14" s="1271"/>
      <c r="AN14" s="1264">
        <f>SUM(AN10:AN13)</f>
        <v>0</v>
      </c>
      <c r="AO14" s="1271"/>
      <c r="AP14" s="1264">
        <f>SUM(AP10:AP13)</f>
        <v>0</v>
      </c>
      <c r="AQ14" s="1271"/>
      <c r="AR14" s="1264">
        <f>SUM(AR10:AR13)</f>
        <v>0</v>
      </c>
      <c r="AS14" s="1271"/>
      <c r="AT14" s="1264">
        <f>SUM(AT10:AT13)</f>
        <v>0</v>
      </c>
      <c r="AU14" s="1271"/>
      <c r="AV14" s="1264">
        <f>SUM(AV10:AV13)</f>
        <v>0</v>
      </c>
      <c r="AW14" s="1271"/>
      <c r="AX14" s="1264">
        <f>SUM(AX10:AX13)</f>
        <v>0</v>
      </c>
      <c r="AY14" s="1271"/>
      <c r="AZ14" s="1264">
        <f>SUM(AZ10:AZ13)</f>
        <v>0</v>
      </c>
      <c r="BA14" s="1271"/>
      <c r="BB14" s="1266">
        <f>SUM(BB10:BB13)</f>
        <v>0</v>
      </c>
      <c r="BC14" s="635"/>
      <c r="BD14" s="628"/>
      <c r="BE14" s="629"/>
      <c r="BF14" s="629"/>
      <c r="BG14" s="630" t="s">
        <v>529</v>
      </c>
      <c r="BH14" s="629"/>
      <c r="BI14" s="629"/>
      <c r="BJ14" s="1263"/>
      <c r="BK14" s="1264">
        <f>SUM(BK10:BK13)</f>
        <v>0</v>
      </c>
      <c r="BL14" s="1271"/>
      <c r="BM14" s="1264">
        <f>SUM(BM10:BM13)</f>
        <v>0</v>
      </c>
      <c r="BN14" s="1271"/>
      <c r="BO14" s="1264">
        <f>SUM(BO10:BO13)</f>
        <v>0</v>
      </c>
      <c r="BP14" s="1271"/>
      <c r="BQ14" s="1264">
        <f>SUM(BQ10:BQ13)</f>
        <v>0</v>
      </c>
      <c r="BR14" s="1271"/>
      <c r="BS14" s="1264">
        <f>SUM(BS10:BS13)</f>
        <v>0</v>
      </c>
      <c r="BT14" s="1271"/>
      <c r="BU14" s="1264">
        <f>SUM(BU10:BU13)</f>
        <v>0</v>
      </c>
      <c r="BV14" s="1271"/>
      <c r="BW14" s="1264">
        <f>SUM(BW10:BW13)</f>
        <v>0</v>
      </c>
      <c r="BX14" s="1271"/>
      <c r="BY14" s="1264">
        <f>SUM(BY10:BY13)</f>
        <v>0</v>
      </c>
      <c r="BZ14" s="1271"/>
      <c r="CA14" s="1264">
        <f>SUM(CA10:CA13)</f>
        <v>0</v>
      </c>
      <c r="CB14" s="1271"/>
      <c r="CC14" s="1264">
        <f>SUM(CC10:CC13)</f>
        <v>0</v>
      </c>
      <c r="CD14" s="1271"/>
      <c r="CE14" s="1264">
        <f>SUM(CE10:CE13)</f>
        <v>0</v>
      </c>
      <c r="CF14" s="1271"/>
      <c r="CG14" s="1264">
        <f>SUM(CG10:CG13)</f>
        <v>0</v>
      </c>
      <c r="CH14" s="1271"/>
      <c r="CI14" s="1264">
        <f>SUM(CI10:CI13)</f>
        <v>0</v>
      </c>
      <c r="CJ14" s="1271"/>
      <c r="CK14" s="1264">
        <f>SUM(CK10:CK13)</f>
        <v>0</v>
      </c>
      <c r="CL14" s="1271"/>
      <c r="CM14" s="1264">
        <f>SUM(CM10:CM13)</f>
        <v>0</v>
      </c>
      <c r="CN14" s="1271"/>
      <c r="CO14" s="1264">
        <f>SUM(CO10:CO13)</f>
        <v>0</v>
      </c>
      <c r="CP14" s="1271"/>
      <c r="CQ14" s="1264">
        <f>SUM(CQ10:CQ13)</f>
        <v>0</v>
      </c>
      <c r="CR14" s="1271"/>
      <c r="CS14" s="1264">
        <f>SUM(CS10:CS13)</f>
        <v>0</v>
      </c>
      <c r="CT14" s="1271"/>
      <c r="CU14" s="1264">
        <f>SUM(CU10:CU13)</f>
        <v>0</v>
      </c>
      <c r="CV14" s="1271"/>
      <c r="CW14" s="1264">
        <f>SUM(CW10:CW13)</f>
        <v>0</v>
      </c>
      <c r="CX14" s="1271"/>
      <c r="CY14" s="1264">
        <f>SUM(CY10:CY13)</f>
        <v>0</v>
      </c>
      <c r="CZ14" s="1271"/>
      <c r="DA14" s="1264">
        <f>SUM(DA10:DA13)</f>
        <v>0</v>
      </c>
      <c r="DB14" s="1271"/>
      <c r="DC14" s="1264">
        <f>SUM(DC10:DC13)</f>
        <v>0</v>
      </c>
      <c r="DD14" s="1271"/>
      <c r="DE14" s="1266">
        <f>SUM(DE10:DE13)</f>
        <v>0</v>
      </c>
      <c r="DF14" s="635"/>
      <c r="DG14" s="628"/>
      <c r="DH14" s="629"/>
      <c r="DI14" s="629"/>
      <c r="DJ14" s="630" t="s">
        <v>530</v>
      </c>
      <c r="DK14" s="629"/>
      <c r="DL14" s="629"/>
      <c r="DM14" s="1263"/>
      <c r="DN14" s="1264">
        <f>SUM(DN10:DN13)</f>
        <v>0</v>
      </c>
      <c r="DO14" s="1271"/>
      <c r="DP14" s="1264">
        <f>SUM(DP10:DP13)</f>
        <v>0</v>
      </c>
      <c r="DQ14" s="1271"/>
      <c r="DR14" s="1264">
        <f>SUM(DR10:DR13)</f>
        <v>0</v>
      </c>
      <c r="DS14" s="1271"/>
      <c r="DT14" s="1264">
        <f>SUM(DT10:DT13)</f>
        <v>0</v>
      </c>
      <c r="DU14" s="1271"/>
      <c r="DV14" s="1264">
        <f>SUM(DV10:DV13)</f>
        <v>0</v>
      </c>
      <c r="DW14" s="1271"/>
      <c r="DX14" s="1264">
        <f>SUM(DX10:DX13)</f>
        <v>0</v>
      </c>
      <c r="DY14" s="1271"/>
      <c r="DZ14" s="1264">
        <f>SUM(DZ10:DZ13)</f>
        <v>0</v>
      </c>
      <c r="EA14" s="1271"/>
      <c r="EB14" s="1264">
        <f>SUM(EB10:EB13)</f>
        <v>0</v>
      </c>
      <c r="EC14" s="1271"/>
      <c r="ED14" s="1264">
        <f>SUM(ED10:ED13)</f>
        <v>0</v>
      </c>
      <c r="EE14" s="1271"/>
      <c r="EF14" s="1264">
        <f>SUM(EF10:EF13)</f>
        <v>0</v>
      </c>
      <c r="EG14" s="1271"/>
      <c r="EH14" s="1264">
        <f>SUM(EH10:EH13)</f>
        <v>0</v>
      </c>
      <c r="EI14" s="1271"/>
      <c r="EJ14" s="1264">
        <f>SUM(EJ10:EJ13)</f>
        <v>0</v>
      </c>
      <c r="EK14" s="1271"/>
      <c r="EL14" s="1264">
        <f>SUM(EL10:EL13)</f>
        <v>0</v>
      </c>
      <c r="EM14" s="1271"/>
      <c r="EN14" s="1264">
        <f>SUM(EN10:EN13)</f>
        <v>0</v>
      </c>
      <c r="EO14" s="1271"/>
      <c r="EP14" s="1264">
        <f>SUM(EP10:EP13)</f>
        <v>0</v>
      </c>
      <c r="EQ14" s="1271"/>
      <c r="ER14" s="1264">
        <f>SUM(ER10:ER13)</f>
        <v>0</v>
      </c>
      <c r="ES14" s="1271"/>
      <c r="ET14" s="1264">
        <f>SUM(ET10:ET13)</f>
        <v>0</v>
      </c>
      <c r="EU14" s="1271"/>
      <c r="EV14" s="1264">
        <f>SUM(EV10:EV13)</f>
        <v>0</v>
      </c>
      <c r="EW14" s="1271"/>
      <c r="EX14" s="1264">
        <f>SUM(EX10:EX13)</f>
        <v>0</v>
      </c>
      <c r="EY14" s="1271"/>
      <c r="EZ14" s="1264">
        <f>SUM(EZ10:EZ13)</f>
        <v>0</v>
      </c>
      <c r="FA14" s="1271"/>
      <c r="FB14" s="1264">
        <f>SUM(FB10:FB13)</f>
        <v>0</v>
      </c>
      <c r="FC14" s="1271"/>
      <c r="FD14" s="1264">
        <f>SUM(FD10:FD13)</f>
        <v>0</v>
      </c>
      <c r="FE14" s="1271"/>
      <c r="FF14" s="1264">
        <f>SUM(FF10:FF13)</f>
        <v>0</v>
      </c>
      <c r="FG14" s="1271"/>
      <c r="FH14" s="1266">
        <f>SUM(FH10:FH13)</f>
        <v>0</v>
      </c>
      <c r="FI14" s="636"/>
      <c r="FJ14" s="551"/>
      <c r="FK14" s="629"/>
      <c r="FL14" s="629"/>
      <c r="FM14" s="630" t="s">
        <v>530</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499</v>
      </c>
      <c r="E15" s="647" t="s">
        <v>285</v>
      </c>
      <c r="F15" s="648" t="s">
        <v>104</v>
      </c>
      <c r="G15" s="649" t="s">
        <v>503</v>
      </c>
      <c r="H15" s="650" t="s">
        <v>531</v>
      </c>
      <c r="I15" s="651" t="s">
        <v>288</v>
      </c>
      <c r="J15" s="650" t="s">
        <v>532</v>
      </c>
      <c r="K15" s="651" t="s">
        <v>288</v>
      </c>
      <c r="L15" s="650" t="s">
        <v>502</v>
      </c>
      <c r="M15" s="651" t="s">
        <v>288</v>
      </c>
      <c r="N15" s="650" t="s">
        <v>502</v>
      </c>
      <c r="O15" s="651" t="s">
        <v>288</v>
      </c>
      <c r="P15" s="650" t="s">
        <v>532</v>
      </c>
      <c r="Q15" s="651" t="s">
        <v>288</v>
      </c>
      <c r="R15" s="650" t="s">
        <v>531</v>
      </c>
      <c r="S15" s="651" t="s">
        <v>288</v>
      </c>
      <c r="T15" s="650" t="s">
        <v>533</v>
      </c>
      <c r="U15" s="651" t="s">
        <v>288</v>
      </c>
      <c r="V15" s="650" t="s">
        <v>532</v>
      </c>
      <c r="W15" s="651" t="s">
        <v>288</v>
      </c>
      <c r="X15" s="650" t="s">
        <v>532</v>
      </c>
      <c r="Y15" s="651" t="s">
        <v>288</v>
      </c>
      <c r="Z15" s="650" t="s">
        <v>531</v>
      </c>
      <c r="AA15" s="651" t="s">
        <v>288</v>
      </c>
      <c r="AB15" s="650" t="s">
        <v>533</v>
      </c>
      <c r="AC15" s="651" t="s">
        <v>288</v>
      </c>
      <c r="AD15" s="650" t="s">
        <v>532</v>
      </c>
      <c r="AE15" s="651" t="s">
        <v>288</v>
      </c>
      <c r="AF15" s="650" t="s">
        <v>502</v>
      </c>
      <c r="AG15" s="651" t="s">
        <v>288</v>
      </c>
      <c r="AH15" s="650" t="s">
        <v>531</v>
      </c>
      <c r="AI15" s="651" t="s">
        <v>288</v>
      </c>
      <c r="AJ15" s="650" t="s">
        <v>502</v>
      </c>
      <c r="AK15" s="651" t="s">
        <v>288</v>
      </c>
      <c r="AL15" s="650" t="s">
        <v>532</v>
      </c>
      <c r="AM15" s="651" t="s">
        <v>288</v>
      </c>
      <c r="AN15" s="650" t="s">
        <v>502</v>
      </c>
      <c r="AO15" s="651" t="s">
        <v>288</v>
      </c>
      <c r="AP15" s="650" t="s">
        <v>532</v>
      </c>
      <c r="AQ15" s="651" t="s">
        <v>288</v>
      </c>
      <c r="AR15" s="650" t="s">
        <v>531</v>
      </c>
      <c r="AS15" s="651" t="s">
        <v>288</v>
      </c>
      <c r="AT15" s="650" t="s">
        <v>531</v>
      </c>
      <c r="AU15" s="651" t="s">
        <v>288</v>
      </c>
      <c r="AV15" s="650" t="s">
        <v>502</v>
      </c>
      <c r="AW15" s="651" t="s">
        <v>288</v>
      </c>
      <c r="AX15" s="650" t="s">
        <v>502</v>
      </c>
      <c r="AY15" s="651" t="s">
        <v>288</v>
      </c>
      <c r="AZ15" s="650" t="s">
        <v>531</v>
      </c>
      <c r="BA15" s="651" t="s">
        <v>288</v>
      </c>
      <c r="BB15" s="652" t="s">
        <v>291</v>
      </c>
      <c r="BC15" s="653"/>
      <c r="BD15" s="519" t="s">
        <v>283</v>
      </c>
      <c r="BE15" s="645" t="s">
        <v>261</v>
      </c>
      <c r="BF15" s="646" t="s">
        <v>262</v>
      </c>
      <c r="BG15" s="647" t="s">
        <v>534</v>
      </c>
      <c r="BH15" s="647" t="s">
        <v>285</v>
      </c>
      <c r="BI15" s="648" t="s">
        <v>104</v>
      </c>
      <c r="BJ15" s="649" t="s">
        <v>535</v>
      </c>
      <c r="BK15" s="650" t="s">
        <v>532</v>
      </c>
      <c r="BL15" s="651" t="s">
        <v>288</v>
      </c>
      <c r="BM15" s="650" t="s">
        <v>502</v>
      </c>
      <c r="BN15" s="651" t="s">
        <v>288</v>
      </c>
      <c r="BO15" s="650" t="s">
        <v>532</v>
      </c>
      <c r="BP15" s="651" t="s">
        <v>288</v>
      </c>
      <c r="BQ15" s="650" t="s">
        <v>502</v>
      </c>
      <c r="BR15" s="651" t="s">
        <v>288</v>
      </c>
      <c r="BS15" s="650" t="s">
        <v>531</v>
      </c>
      <c r="BT15" s="651" t="s">
        <v>288</v>
      </c>
      <c r="BU15" s="650" t="s">
        <v>531</v>
      </c>
      <c r="BV15" s="651" t="s">
        <v>288</v>
      </c>
      <c r="BW15" s="650" t="s">
        <v>531</v>
      </c>
      <c r="BX15" s="651" t="s">
        <v>288</v>
      </c>
      <c r="BY15" s="650" t="s">
        <v>531</v>
      </c>
      <c r="BZ15" s="651" t="s">
        <v>288</v>
      </c>
      <c r="CA15" s="650" t="s">
        <v>502</v>
      </c>
      <c r="CB15" s="651" t="s">
        <v>288</v>
      </c>
      <c r="CC15" s="650" t="s">
        <v>531</v>
      </c>
      <c r="CD15" s="651" t="s">
        <v>288</v>
      </c>
      <c r="CE15" s="650" t="s">
        <v>531</v>
      </c>
      <c r="CF15" s="651" t="s">
        <v>288</v>
      </c>
      <c r="CG15" s="650" t="s">
        <v>531</v>
      </c>
      <c r="CH15" s="651" t="s">
        <v>288</v>
      </c>
      <c r="CI15" s="650" t="s">
        <v>531</v>
      </c>
      <c r="CJ15" s="651" t="s">
        <v>288</v>
      </c>
      <c r="CK15" s="650" t="s">
        <v>531</v>
      </c>
      <c r="CL15" s="651" t="s">
        <v>288</v>
      </c>
      <c r="CM15" s="650" t="s">
        <v>531</v>
      </c>
      <c r="CN15" s="651" t="s">
        <v>288</v>
      </c>
      <c r="CO15" s="650" t="s">
        <v>502</v>
      </c>
      <c r="CP15" s="651" t="s">
        <v>288</v>
      </c>
      <c r="CQ15" s="650" t="s">
        <v>532</v>
      </c>
      <c r="CR15" s="651" t="s">
        <v>288</v>
      </c>
      <c r="CS15" s="650" t="s">
        <v>532</v>
      </c>
      <c r="CT15" s="651" t="s">
        <v>288</v>
      </c>
      <c r="CU15" s="650" t="s">
        <v>533</v>
      </c>
      <c r="CV15" s="651" t="s">
        <v>288</v>
      </c>
      <c r="CW15" s="650" t="s">
        <v>502</v>
      </c>
      <c r="CX15" s="651" t="s">
        <v>288</v>
      </c>
      <c r="CY15" s="650" t="s">
        <v>502</v>
      </c>
      <c r="CZ15" s="651" t="s">
        <v>288</v>
      </c>
      <c r="DA15" s="650" t="s">
        <v>502</v>
      </c>
      <c r="DB15" s="651" t="s">
        <v>288</v>
      </c>
      <c r="DC15" s="650" t="s">
        <v>531</v>
      </c>
      <c r="DD15" s="651" t="s">
        <v>288</v>
      </c>
      <c r="DE15" s="652" t="s">
        <v>291</v>
      </c>
      <c r="DF15" s="653"/>
      <c r="DG15" s="519" t="s">
        <v>283</v>
      </c>
      <c r="DH15" s="645" t="s">
        <v>261</v>
      </c>
      <c r="DI15" s="646" t="s">
        <v>262</v>
      </c>
      <c r="DJ15" s="647" t="s">
        <v>522</v>
      </c>
      <c r="DK15" s="647" t="s">
        <v>285</v>
      </c>
      <c r="DL15" s="648" t="s">
        <v>104</v>
      </c>
      <c r="DM15" s="649" t="s">
        <v>503</v>
      </c>
      <c r="DN15" s="650" t="s">
        <v>531</v>
      </c>
      <c r="DO15" s="651" t="s">
        <v>288</v>
      </c>
      <c r="DP15" s="650" t="s">
        <v>531</v>
      </c>
      <c r="DQ15" s="651" t="s">
        <v>288</v>
      </c>
      <c r="DR15" s="650" t="s">
        <v>532</v>
      </c>
      <c r="DS15" s="651" t="s">
        <v>288</v>
      </c>
      <c r="DT15" s="650" t="s">
        <v>502</v>
      </c>
      <c r="DU15" s="651" t="s">
        <v>288</v>
      </c>
      <c r="DV15" s="650" t="s">
        <v>502</v>
      </c>
      <c r="DW15" s="651" t="s">
        <v>288</v>
      </c>
      <c r="DX15" s="650" t="s">
        <v>532</v>
      </c>
      <c r="DY15" s="651" t="s">
        <v>288</v>
      </c>
      <c r="DZ15" s="650" t="s">
        <v>531</v>
      </c>
      <c r="EA15" s="651" t="s">
        <v>288</v>
      </c>
      <c r="EB15" s="650" t="s">
        <v>533</v>
      </c>
      <c r="EC15" s="651" t="s">
        <v>288</v>
      </c>
      <c r="ED15" s="650" t="s">
        <v>531</v>
      </c>
      <c r="EE15" s="651" t="s">
        <v>288</v>
      </c>
      <c r="EF15" s="650" t="s">
        <v>533</v>
      </c>
      <c r="EG15" s="651" t="s">
        <v>288</v>
      </c>
      <c r="EH15" s="650" t="s">
        <v>533</v>
      </c>
      <c r="EI15" s="651" t="s">
        <v>288</v>
      </c>
      <c r="EJ15" s="650" t="s">
        <v>502</v>
      </c>
      <c r="EK15" s="651" t="s">
        <v>288</v>
      </c>
      <c r="EL15" s="650" t="s">
        <v>532</v>
      </c>
      <c r="EM15" s="651" t="s">
        <v>288</v>
      </c>
      <c r="EN15" s="650" t="s">
        <v>531</v>
      </c>
      <c r="EO15" s="651" t="s">
        <v>288</v>
      </c>
      <c r="EP15" s="650" t="s">
        <v>531</v>
      </c>
      <c r="EQ15" s="651" t="s">
        <v>288</v>
      </c>
      <c r="ER15" s="650" t="s">
        <v>532</v>
      </c>
      <c r="ES15" s="651" t="s">
        <v>288</v>
      </c>
      <c r="ET15" s="650" t="s">
        <v>532</v>
      </c>
      <c r="EU15" s="651" t="s">
        <v>288</v>
      </c>
      <c r="EV15" s="650" t="s">
        <v>531</v>
      </c>
      <c r="EW15" s="651" t="s">
        <v>288</v>
      </c>
      <c r="EX15" s="650" t="s">
        <v>532</v>
      </c>
      <c r="EY15" s="651" t="s">
        <v>288</v>
      </c>
      <c r="EZ15" s="650" t="s">
        <v>533</v>
      </c>
      <c r="FA15" s="651" t="s">
        <v>288</v>
      </c>
      <c r="FB15" s="650" t="s">
        <v>502</v>
      </c>
      <c r="FC15" s="651" t="s">
        <v>288</v>
      </c>
      <c r="FD15" s="650" t="s">
        <v>502</v>
      </c>
      <c r="FE15" s="651" t="s">
        <v>288</v>
      </c>
      <c r="FF15" s="650" t="s">
        <v>532</v>
      </c>
      <c r="FG15" s="651" t="s">
        <v>288</v>
      </c>
      <c r="FH15" s="652" t="s">
        <v>291</v>
      </c>
      <c r="FI15" s="654"/>
      <c r="FJ15" s="529" t="s">
        <v>283</v>
      </c>
      <c r="FK15" s="645" t="s">
        <v>261</v>
      </c>
      <c r="FL15" s="646" t="s">
        <v>262</v>
      </c>
      <c r="FM15" s="647" t="s">
        <v>536</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236</v>
      </c>
      <c r="C16" s="662"/>
      <c r="D16" s="542">
        <v>8.1</v>
      </c>
      <c r="E16" s="663">
        <v>2.9</v>
      </c>
      <c r="F16" s="664"/>
      <c r="G16" s="665">
        <v>0</v>
      </c>
      <c r="H16" s="546">
        <f>ROUND(8.1*2.9*0,0)</f>
        <v>0</v>
      </c>
      <c r="I16" s="666">
        <v>0</v>
      </c>
      <c r="J16" s="546">
        <f>ROUND(8.1*2.9*0,0)</f>
        <v>0</v>
      </c>
      <c r="K16" s="666">
        <v>0</v>
      </c>
      <c r="L16" s="546">
        <f>ROUND(8.1*2.9*0,0)</f>
        <v>0</v>
      </c>
      <c r="M16" s="666">
        <v>0</v>
      </c>
      <c r="N16" s="546">
        <f>ROUND(8.1*2.9*0,0)</f>
        <v>0</v>
      </c>
      <c r="O16" s="666">
        <v>0</v>
      </c>
      <c r="P16" s="546">
        <f>ROUND(8.1*2.9*0,0)</f>
        <v>0</v>
      </c>
      <c r="Q16" s="666">
        <v>0</v>
      </c>
      <c r="R16" s="546">
        <f>ROUND(8.1*2.9*0,0)</f>
        <v>0</v>
      </c>
      <c r="S16" s="666">
        <v>0</v>
      </c>
      <c r="T16" s="546">
        <f>ROUND(8.1*2.9*0,0)</f>
        <v>0</v>
      </c>
      <c r="U16" s="666">
        <v>0</v>
      </c>
      <c r="V16" s="546">
        <f>ROUND(8.1*2.9*0,0)</f>
        <v>0</v>
      </c>
      <c r="W16" s="666">
        <v>1</v>
      </c>
      <c r="X16" s="546">
        <f>ROUND(8.1*2.9*1,0)</f>
        <v>23</v>
      </c>
      <c r="Y16" s="666">
        <v>1.3</v>
      </c>
      <c r="Z16" s="546">
        <f>ROUND(8.1*2.9*1.3,0)</f>
        <v>31</v>
      </c>
      <c r="AA16" s="666">
        <v>1.6</v>
      </c>
      <c r="AB16" s="546">
        <f>ROUND(8.1*2.9*1.6,0)</f>
        <v>38</v>
      </c>
      <c r="AC16" s="666">
        <v>1.7</v>
      </c>
      <c r="AD16" s="546">
        <f>ROUND(8.1*2.9*1.7,0)</f>
        <v>40</v>
      </c>
      <c r="AE16" s="666">
        <v>1.8</v>
      </c>
      <c r="AF16" s="546">
        <f>ROUND(8.1*2.9*1.8,0)</f>
        <v>42</v>
      </c>
      <c r="AG16" s="666">
        <v>1.8</v>
      </c>
      <c r="AH16" s="546">
        <f>ROUND(8.1*2.9*1.8,0)</f>
        <v>42</v>
      </c>
      <c r="AI16" s="666">
        <v>1.6</v>
      </c>
      <c r="AJ16" s="546">
        <f>ROUND(8.1*2.9*1.6,0)</f>
        <v>38</v>
      </c>
      <c r="AK16" s="666">
        <v>1.5</v>
      </c>
      <c r="AL16" s="546">
        <f>ROUND(8.1*2.9*1.5,0)</f>
        <v>35</v>
      </c>
      <c r="AM16" s="666">
        <v>1.2</v>
      </c>
      <c r="AN16" s="546">
        <f>ROUND(8.1*2.9*1.2,0)</f>
        <v>28</v>
      </c>
      <c r="AO16" s="666">
        <v>1</v>
      </c>
      <c r="AP16" s="546">
        <f>ROUND(8.1*2.9*1,0)</f>
        <v>23</v>
      </c>
      <c r="AQ16" s="666">
        <v>0</v>
      </c>
      <c r="AR16" s="546">
        <f>ROUND(8.1*2.9*0,0)</f>
        <v>0</v>
      </c>
      <c r="AS16" s="666">
        <v>0</v>
      </c>
      <c r="AT16" s="546">
        <f>ROUND(8.1*2.9*0,0)</f>
        <v>0</v>
      </c>
      <c r="AU16" s="666">
        <v>0</v>
      </c>
      <c r="AV16" s="546">
        <f>ROUND(8.1*2.9*0,0)</f>
        <v>0</v>
      </c>
      <c r="AW16" s="666">
        <v>0</v>
      </c>
      <c r="AX16" s="546">
        <f>ROUND(8.1*2.9*0,0)</f>
        <v>0</v>
      </c>
      <c r="AY16" s="666">
        <v>0</v>
      </c>
      <c r="AZ16" s="546">
        <f>ROUND(8.1*2.9*0,0)</f>
        <v>0</v>
      </c>
      <c r="BA16" s="666">
        <v>0</v>
      </c>
      <c r="BB16" s="667">
        <f>ROUND(8.1*2.9*0,0)</f>
        <v>0</v>
      </c>
      <c r="BC16" s="549"/>
      <c r="BD16" s="539"/>
      <c r="BE16" s="541" t="s">
        <v>236</v>
      </c>
      <c r="BF16" s="662"/>
      <c r="BG16" s="542">
        <v>8.1</v>
      </c>
      <c r="BH16" s="663">
        <v>2.9</v>
      </c>
      <c r="BI16" s="664"/>
      <c r="BJ16" s="665">
        <v>0</v>
      </c>
      <c r="BK16" s="546">
        <f>ROUND(8.1*2.9*0,0)</f>
        <v>0</v>
      </c>
      <c r="BL16" s="666">
        <v>0</v>
      </c>
      <c r="BM16" s="546">
        <f>ROUND(8.1*2.9*0,0)</f>
        <v>0</v>
      </c>
      <c r="BN16" s="666">
        <v>0</v>
      </c>
      <c r="BO16" s="546">
        <f>ROUND(8.1*2.9*0,0)</f>
        <v>0</v>
      </c>
      <c r="BP16" s="666">
        <v>0</v>
      </c>
      <c r="BQ16" s="546">
        <f>ROUND(8.1*2.9*0,0)</f>
        <v>0</v>
      </c>
      <c r="BR16" s="666">
        <v>0</v>
      </c>
      <c r="BS16" s="546">
        <f>ROUND(8.1*2.9*0,0)</f>
        <v>0</v>
      </c>
      <c r="BT16" s="666">
        <v>0</v>
      </c>
      <c r="BU16" s="546">
        <f>ROUND(8.1*2.9*0,0)</f>
        <v>0</v>
      </c>
      <c r="BV16" s="666">
        <v>0</v>
      </c>
      <c r="BW16" s="546">
        <f>ROUND(8.1*2.9*0,0)</f>
        <v>0</v>
      </c>
      <c r="BX16" s="666">
        <v>0</v>
      </c>
      <c r="BY16" s="546">
        <f>ROUND(8.1*2.9*0,0)</f>
        <v>0</v>
      </c>
      <c r="BZ16" s="666">
        <v>0.9</v>
      </c>
      <c r="CA16" s="546">
        <f>ROUND(8.1*2.9*0.9,0)</f>
        <v>21</v>
      </c>
      <c r="CB16" s="666">
        <v>1.2</v>
      </c>
      <c r="CC16" s="546">
        <f>ROUND(8.1*2.9*1.2,0)</f>
        <v>28</v>
      </c>
      <c r="CD16" s="666">
        <v>1.5</v>
      </c>
      <c r="CE16" s="546">
        <f>ROUND(8.1*2.9*1.5,0)</f>
        <v>35</v>
      </c>
      <c r="CF16" s="666">
        <v>1.6</v>
      </c>
      <c r="CG16" s="546">
        <f>ROUND(8.1*2.9*1.6,0)</f>
        <v>38</v>
      </c>
      <c r="CH16" s="666">
        <v>1.7</v>
      </c>
      <c r="CI16" s="546">
        <f>ROUND(8.1*2.9*1.7,0)</f>
        <v>40</v>
      </c>
      <c r="CJ16" s="666">
        <v>1.6</v>
      </c>
      <c r="CK16" s="546">
        <f>ROUND(8.1*2.9*1.6,0)</f>
        <v>38</v>
      </c>
      <c r="CL16" s="666">
        <v>1.5</v>
      </c>
      <c r="CM16" s="546">
        <f>ROUND(8.1*2.9*1.5,0)</f>
        <v>35</v>
      </c>
      <c r="CN16" s="666">
        <v>1.3</v>
      </c>
      <c r="CO16" s="546">
        <f>ROUND(8.1*2.9*1.3,0)</f>
        <v>31</v>
      </c>
      <c r="CP16" s="666">
        <v>1.2</v>
      </c>
      <c r="CQ16" s="546">
        <f>ROUND(8.1*2.9*1.2,0)</f>
        <v>28</v>
      </c>
      <c r="CR16" s="666">
        <v>0.9</v>
      </c>
      <c r="CS16" s="546">
        <f>ROUND(8.1*2.9*0.9,0)</f>
        <v>21</v>
      </c>
      <c r="CT16" s="666">
        <v>0</v>
      </c>
      <c r="CU16" s="546">
        <f>ROUND(8.1*2.9*0,0)</f>
        <v>0</v>
      </c>
      <c r="CV16" s="666">
        <v>0</v>
      </c>
      <c r="CW16" s="546">
        <f>ROUND(8.1*2.9*0,0)</f>
        <v>0</v>
      </c>
      <c r="CX16" s="666">
        <v>0</v>
      </c>
      <c r="CY16" s="546">
        <f>ROUND(8.1*2.9*0,0)</f>
        <v>0</v>
      </c>
      <c r="CZ16" s="666">
        <v>0</v>
      </c>
      <c r="DA16" s="546">
        <f>ROUND(8.1*2.9*0,0)</f>
        <v>0</v>
      </c>
      <c r="DB16" s="666">
        <v>0</v>
      </c>
      <c r="DC16" s="546">
        <f>ROUND(8.1*2.9*0,0)</f>
        <v>0</v>
      </c>
      <c r="DD16" s="666">
        <v>0</v>
      </c>
      <c r="DE16" s="667">
        <f>ROUND(8.1*2.9*0,0)</f>
        <v>0</v>
      </c>
      <c r="DF16" s="549"/>
      <c r="DG16" s="539"/>
      <c r="DH16" s="541" t="s">
        <v>236</v>
      </c>
      <c r="DI16" s="662"/>
      <c r="DJ16" s="542">
        <v>8.1</v>
      </c>
      <c r="DK16" s="663">
        <v>2.9</v>
      </c>
      <c r="DL16" s="664"/>
      <c r="DM16" s="665">
        <v>0</v>
      </c>
      <c r="DN16" s="546">
        <f>ROUND(8.1*2.9*0,0)</f>
        <v>0</v>
      </c>
      <c r="DO16" s="666">
        <v>0</v>
      </c>
      <c r="DP16" s="546">
        <f>ROUND(8.1*2.9*0,0)</f>
        <v>0</v>
      </c>
      <c r="DQ16" s="666">
        <v>0</v>
      </c>
      <c r="DR16" s="546">
        <f>ROUND(8.1*2.9*0,0)</f>
        <v>0</v>
      </c>
      <c r="DS16" s="666">
        <v>0</v>
      </c>
      <c r="DT16" s="546">
        <f>ROUND(8.1*2.9*0,0)</f>
        <v>0</v>
      </c>
      <c r="DU16" s="666">
        <v>0</v>
      </c>
      <c r="DV16" s="546">
        <f>ROUND(8.1*2.9*0,0)</f>
        <v>0</v>
      </c>
      <c r="DW16" s="666">
        <v>0</v>
      </c>
      <c r="DX16" s="546">
        <f>ROUND(8.1*2.9*0,0)</f>
        <v>0</v>
      </c>
      <c r="DY16" s="666">
        <v>0</v>
      </c>
      <c r="DZ16" s="546">
        <f>ROUND(8.1*2.9*0,0)</f>
        <v>0</v>
      </c>
      <c r="EA16" s="666">
        <v>0</v>
      </c>
      <c r="EB16" s="546">
        <f>ROUND(8.1*2.9*0,0)</f>
        <v>0</v>
      </c>
      <c r="EC16" s="666">
        <v>0.2</v>
      </c>
      <c r="ED16" s="546">
        <f>ROUND(8.1*2.9*0.2,0)</f>
        <v>5</v>
      </c>
      <c r="EE16" s="666">
        <v>0.6</v>
      </c>
      <c r="EF16" s="546">
        <f>ROUND(8.1*2.9*0.6,0)</f>
        <v>14</v>
      </c>
      <c r="EG16" s="666">
        <v>0.9</v>
      </c>
      <c r="EH16" s="546">
        <f>ROUND(8.1*2.9*0.9,0)</f>
        <v>21</v>
      </c>
      <c r="EI16" s="666">
        <v>1.1000000000000001</v>
      </c>
      <c r="EJ16" s="546">
        <f>ROUND(8.1*2.9*1.1,0)</f>
        <v>26</v>
      </c>
      <c r="EK16" s="666">
        <v>1.1000000000000001</v>
      </c>
      <c r="EL16" s="546">
        <f>ROUND(8.1*2.9*1.1,0)</f>
        <v>26</v>
      </c>
      <c r="EM16" s="666">
        <v>1</v>
      </c>
      <c r="EN16" s="546">
        <f>ROUND(8.1*2.9*1,0)</f>
        <v>23</v>
      </c>
      <c r="EO16" s="666">
        <v>0.9</v>
      </c>
      <c r="EP16" s="546">
        <f>ROUND(8.1*2.9*0.9,0)</f>
        <v>21</v>
      </c>
      <c r="EQ16" s="666">
        <v>0.8</v>
      </c>
      <c r="ER16" s="546">
        <f>ROUND(8.1*2.9*0.8,0)</f>
        <v>19</v>
      </c>
      <c r="ES16" s="666">
        <v>0.5</v>
      </c>
      <c r="ET16" s="546">
        <f>ROUND(8.1*2.9*0.5,0)</f>
        <v>12</v>
      </c>
      <c r="EU16" s="666">
        <v>0.2</v>
      </c>
      <c r="EV16" s="546">
        <f>ROUND(8.1*2.9*0.2,0)</f>
        <v>5</v>
      </c>
      <c r="EW16" s="666">
        <v>0</v>
      </c>
      <c r="EX16" s="546">
        <f>ROUND(8.1*2.9*0,0)</f>
        <v>0</v>
      </c>
      <c r="EY16" s="666">
        <v>0</v>
      </c>
      <c r="EZ16" s="546">
        <f>ROUND(8.1*2.9*0,0)</f>
        <v>0</v>
      </c>
      <c r="FA16" s="666">
        <v>0</v>
      </c>
      <c r="FB16" s="546">
        <f>ROUND(8.1*2.9*0,0)</f>
        <v>0</v>
      </c>
      <c r="FC16" s="666">
        <v>0</v>
      </c>
      <c r="FD16" s="546">
        <f>ROUND(8.1*2.9*0,0)</f>
        <v>0</v>
      </c>
      <c r="FE16" s="666">
        <v>0</v>
      </c>
      <c r="FF16" s="546">
        <f>ROUND(8.1*2.9*0,0)</f>
        <v>0</v>
      </c>
      <c r="FG16" s="666">
        <v>0</v>
      </c>
      <c r="FH16" s="667">
        <f>ROUND(8.1*2.9*0,0)</f>
        <v>0</v>
      </c>
      <c r="FI16" s="550"/>
      <c r="FJ16" s="551"/>
      <c r="FK16" s="541" t="s">
        <v>236</v>
      </c>
      <c r="FL16" s="662"/>
      <c r="FM16" s="542">
        <v>8.1</v>
      </c>
      <c r="FN16" s="663">
        <v>2.9</v>
      </c>
      <c r="FO16" s="664"/>
      <c r="FP16" s="668">
        <v>9</v>
      </c>
      <c r="FQ16" s="669">
        <v>5.0999999999999996</v>
      </c>
      <c r="FR16" s="546">
        <f>ROUND(8.1*2.9*5.1,0)</f>
        <v>120</v>
      </c>
      <c r="FS16" s="670">
        <v>9</v>
      </c>
      <c r="FT16" s="669">
        <v>5.2</v>
      </c>
      <c r="FU16" s="554">
        <f>ROUND(8.1*2.9*5.2,0)</f>
        <v>122</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c r="C17" s="674"/>
      <c r="D17" s="570"/>
      <c r="E17" s="675"/>
      <c r="F17" s="676"/>
      <c r="G17" s="677"/>
      <c r="H17" s="574"/>
      <c r="I17" s="678"/>
      <c r="J17" s="574"/>
      <c r="K17" s="678"/>
      <c r="L17" s="574"/>
      <c r="M17" s="678"/>
      <c r="N17" s="574"/>
      <c r="O17" s="678"/>
      <c r="P17" s="574"/>
      <c r="Q17" s="678"/>
      <c r="R17" s="574"/>
      <c r="S17" s="678"/>
      <c r="T17" s="574"/>
      <c r="U17" s="678"/>
      <c r="V17" s="574"/>
      <c r="W17" s="678"/>
      <c r="X17" s="574"/>
      <c r="Y17" s="678"/>
      <c r="Z17" s="574"/>
      <c r="AA17" s="678"/>
      <c r="AB17" s="574"/>
      <c r="AC17" s="678"/>
      <c r="AD17" s="574"/>
      <c r="AE17" s="678"/>
      <c r="AF17" s="574"/>
      <c r="AG17" s="678"/>
      <c r="AH17" s="574"/>
      <c r="AI17" s="678"/>
      <c r="AJ17" s="574"/>
      <c r="AK17" s="678"/>
      <c r="AL17" s="574"/>
      <c r="AM17" s="678"/>
      <c r="AN17" s="574"/>
      <c r="AO17" s="678"/>
      <c r="AP17" s="574"/>
      <c r="AQ17" s="678"/>
      <c r="AR17" s="574"/>
      <c r="AS17" s="678"/>
      <c r="AT17" s="574"/>
      <c r="AU17" s="678"/>
      <c r="AV17" s="574"/>
      <c r="AW17" s="678"/>
      <c r="AX17" s="574"/>
      <c r="AY17" s="678"/>
      <c r="AZ17" s="574"/>
      <c r="BA17" s="678"/>
      <c r="BB17" s="576"/>
      <c r="BC17" s="549"/>
      <c r="BD17" s="539"/>
      <c r="BE17" s="569"/>
      <c r="BF17" s="674"/>
      <c r="BG17" s="570"/>
      <c r="BH17" s="675"/>
      <c r="BI17" s="676"/>
      <c r="BJ17" s="677"/>
      <c r="BK17" s="574"/>
      <c r="BL17" s="678"/>
      <c r="BM17" s="574"/>
      <c r="BN17" s="678"/>
      <c r="BO17" s="574"/>
      <c r="BP17" s="678"/>
      <c r="BQ17" s="574"/>
      <c r="BR17" s="678"/>
      <c r="BS17" s="574"/>
      <c r="BT17" s="678"/>
      <c r="BU17" s="574"/>
      <c r="BV17" s="678"/>
      <c r="BW17" s="574"/>
      <c r="BX17" s="678"/>
      <c r="BY17" s="574"/>
      <c r="BZ17" s="678"/>
      <c r="CA17" s="574"/>
      <c r="CB17" s="678"/>
      <c r="CC17" s="574"/>
      <c r="CD17" s="678"/>
      <c r="CE17" s="574"/>
      <c r="CF17" s="678"/>
      <c r="CG17" s="574"/>
      <c r="CH17" s="678"/>
      <c r="CI17" s="574"/>
      <c r="CJ17" s="678"/>
      <c r="CK17" s="574"/>
      <c r="CL17" s="678"/>
      <c r="CM17" s="574"/>
      <c r="CN17" s="678"/>
      <c r="CO17" s="574"/>
      <c r="CP17" s="678"/>
      <c r="CQ17" s="574"/>
      <c r="CR17" s="678"/>
      <c r="CS17" s="574"/>
      <c r="CT17" s="678"/>
      <c r="CU17" s="574"/>
      <c r="CV17" s="678"/>
      <c r="CW17" s="574"/>
      <c r="CX17" s="678"/>
      <c r="CY17" s="574"/>
      <c r="CZ17" s="678"/>
      <c r="DA17" s="574"/>
      <c r="DB17" s="678"/>
      <c r="DC17" s="574"/>
      <c r="DD17" s="678"/>
      <c r="DE17" s="576"/>
      <c r="DF17" s="549"/>
      <c r="DG17" s="539"/>
      <c r="DH17" s="569"/>
      <c r="DI17" s="674"/>
      <c r="DJ17" s="570"/>
      <c r="DK17" s="675"/>
      <c r="DL17" s="676"/>
      <c r="DM17" s="677"/>
      <c r="DN17" s="574"/>
      <c r="DO17" s="678"/>
      <c r="DP17" s="574"/>
      <c r="DQ17" s="678"/>
      <c r="DR17" s="574"/>
      <c r="DS17" s="678"/>
      <c r="DT17" s="574"/>
      <c r="DU17" s="678"/>
      <c r="DV17" s="574"/>
      <c r="DW17" s="678"/>
      <c r="DX17" s="574"/>
      <c r="DY17" s="678"/>
      <c r="DZ17" s="574"/>
      <c r="EA17" s="678"/>
      <c r="EB17" s="574"/>
      <c r="EC17" s="678"/>
      <c r="ED17" s="574"/>
      <c r="EE17" s="678"/>
      <c r="EF17" s="574"/>
      <c r="EG17" s="678"/>
      <c r="EH17" s="574"/>
      <c r="EI17" s="678"/>
      <c r="EJ17" s="574"/>
      <c r="EK17" s="678"/>
      <c r="EL17" s="574"/>
      <c r="EM17" s="678"/>
      <c r="EN17" s="574"/>
      <c r="EO17" s="678"/>
      <c r="EP17" s="574"/>
      <c r="EQ17" s="678"/>
      <c r="ER17" s="574"/>
      <c r="ES17" s="678"/>
      <c r="ET17" s="574"/>
      <c r="EU17" s="678"/>
      <c r="EV17" s="574"/>
      <c r="EW17" s="678"/>
      <c r="EX17" s="574"/>
      <c r="EY17" s="678"/>
      <c r="EZ17" s="574"/>
      <c r="FA17" s="678"/>
      <c r="FB17" s="574"/>
      <c r="FC17" s="678"/>
      <c r="FD17" s="574"/>
      <c r="FE17" s="678"/>
      <c r="FF17" s="574"/>
      <c r="FG17" s="678"/>
      <c r="FH17" s="576"/>
      <c r="FI17" s="550"/>
      <c r="FJ17" s="551"/>
      <c r="FK17" s="569"/>
      <c r="FL17" s="674"/>
      <c r="FM17" s="570"/>
      <c r="FN17" s="675"/>
      <c r="FO17" s="676"/>
      <c r="FP17" s="679"/>
      <c r="FQ17" s="680"/>
      <c r="FR17" s="574"/>
      <c r="FS17" s="681"/>
      <c r="FT17" s="680"/>
      <c r="FU17" s="579"/>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c r="C18" s="674"/>
      <c r="D18" s="570"/>
      <c r="E18" s="675"/>
      <c r="F18" s="676"/>
      <c r="G18" s="677"/>
      <c r="H18" s="574"/>
      <c r="I18" s="678"/>
      <c r="J18" s="574"/>
      <c r="K18" s="678"/>
      <c r="L18" s="574"/>
      <c r="M18" s="678"/>
      <c r="N18" s="574"/>
      <c r="O18" s="678"/>
      <c r="P18" s="574"/>
      <c r="Q18" s="678"/>
      <c r="R18" s="574"/>
      <c r="S18" s="678"/>
      <c r="T18" s="574"/>
      <c r="U18" s="678"/>
      <c r="V18" s="574"/>
      <c r="W18" s="678"/>
      <c r="X18" s="574"/>
      <c r="Y18" s="678"/>
      <c r="Z18" s="574"/>
      <c r="AA18" s="678"/>
      <c r="AB18" s="574"/>
      <c r="AC18" s="678"/>
      <c r="AD18" s="574"/>
      <c r="AE18" s="678"/>
      <c r="AF18" s="574"/>
      <c r="AG18" s="678"/>
      <c r="AH18" s="574"/>
      <c r="AI18" s="678"/>
      <c r="AJ18" s="574"/>
      <c r="AK18" s="678"/>
      <c r="AL18" s="574"/>
      <c r="AM18" s="678"/>
      <c r="AN18" s="574"/>
      <c r="AO18" s="678"/>
      <c r="AP18" s="574"/>
      <c r="AQ18" s="678"/>
      <c r="AR18" s="574"/>
      <c r="AS18" s="678"/>
      <c r="AT18" s="574"/>
      <c r="AU18" s="678"/>
      <c r="AV18" s="574"/>
      <c r="AW18" s="678"/>
      <c r="AX18" s="574"/>
      <c r="AY18" s="678"/>
      <c r="AZ18" s="574"/>
      <c r="BA18" s="678"/>
      <c r="BB18" s="576"/>
      <c r="BC18" s="549"/>
      <c r="BD18" s="539"/>
      <c r="BE18" s="683"/>
      <c r="BF18" s="674"/>
      <c r="BG18" s="570"/>
      <c r="BH18" s="675"/>
      <c r="BI18" s="676"/>
      <c r="BJ18" s="677"/>
      <c r="BK18" s="574"/>
      <c r="BL18" s="678"/>
      <c r="BM18" s="574"/>
      <c r="BN18" s="678"/>
      <c r="BO18" s="574"/>
      <c r="BP18" s="678"/>
      <c r="BQ18" s="574"/>
      <c r="BR18" s="678"/>
      <c r="BS18" s="574"/>
      <c r="BT18" s="678"/>
      <c r="BU18" s="574"/>
      <c r="BV18" s="678"/>
      <c r="BW18" s="574"/>
      <c r="BX18" s="678"/>
      <c r="BY18" s="574"/>
      <c r="BZ18" s="678"/>
      <c r="CA18" s="574"/>
      <c r="CB18" s="678"/>
      <c r="CC18" s="574"/>
      <c r="CD18" s="678"/>
      <c r="CE18" s="574"/>
      <c r="CF18" s="678"/>
      <c r="CG18" s="574"/>
      <c r="CH18" s="678"/>
      <c r="CI18" s="574"/>
      <c r="CJ18" s="678"/>
      <c r="CK18" s="574"/>
      <c r="CL18" s="678"/>
      <c r="CM18" s="574"/>
      <c r="CN18" s="678"/>
      <c r="CO18" s="574"/>
      <c r="CP18" s="678"/>
      <c r="CQ18" s="574"/>
      <c r="CR18" s="678"/>
      <c r="CS18" s="574"/>
      <c r="CT18" s="678"/>
      <c r="CU18" s="574"/>
      <c r="CV18" s="678"/>
      <c r="CW18" s="574"/>
      <c r="CX18" s="678"/>
      <c r="CY18" s="574"/>
      <c r="CZ18" s="678"/>
      <c r="DA18" s="574"/>
      <c r="DB18" s="678"/>
      <c r="DC18" s="574"/>
      <c r="DD18" s="678"/>
      <c r="DE18" s="576"/>
      <c r="DF18" s="549"/>
      <c r="DG18" s="539"/>
      <c r="DH18" s="683"/>
      <c r="DI18" s="674"/>
      <c r="DJ18" s="570"/>
      <c r="DK18" s="675"/>
      <c r="DL18" s="676"/>
      <c r="DM18" s="677"/>
      <c r="DN18" s="574"/>
      <c r="DO18" s="678"/>
      <c r="DP18" s="574"/>
      <c r="DQ18" s="678"/>
      <c r="DR18" s="574"/>
      <c r="DS18" s="678"/>
      <c r="DT18" s="574"/>
      <c r="DU18" s="678"/>
      <c r="DV18" s="574"/>
      <c r="DW18" s="678"/>
      <c r="DX18" s="574"/>
      <c r="DY18" s="678"/>
      <c r="DZ18" s="574"/>
      <c r="EA18" s="678"/>
      <c r="EB18" s="574"/>
      <c r="EC18" s="678"/>
      <c r="ED18" s="574"/>
      <c r="EE18" s="678"/>
      <c r="EF18" s="574"/>
      <c r="EG18" s="678"/>
      <c r="EH18" s="574"/>
      <c r="EI18" s="678"/>
      <c r="EJ18" s="574"/>
      <c r="EK18" s="678"/>
      <c r="EL18" s="574"/>
      <c r="EM18" s="678"/>
      <c r="EN18" s="574"/>
      <c r="EO18" s="678"/>
      <c r="EP18" s="574"/>
      <c r="EQ18" s="678"/>
      <c r="ER18" s="574"/>
      <c r="ES18" s="678"/>
      <c r="ET18" s="574"/>
      <c r="EU18" s="678"/>
      <c r="EV18" s="574"/>
      <c r="EW18" s="678"/>
      <c r="EX18" s="574"/>
      <c r="EY18" s="678"/>
      <c r="EZ18" s="574"/>
      <c r="FA18" s="678"/>
      <c r="FB18" s="574"/>
      <c r="FC18" s="678"/>
      <c r="FD18" s="574"/>
      <c r="FE18" s="678"/>
      <c r="FF18" s="574"/>
      <c r="FG18" s="678"/>
      <c r="FH18" s="576"/>
      <c r="FI18" s="550"/>
      <c r="FJ18" s="551"/>
      <c r="FK18" s="683"/>
      <c r="FL18" s="674"/>
      <c r="FM18" s="570"/>
      <c r="FN18" s="675"/>
      <c r="FO18" s="676"/>
      <c r="FP18" s="679"/>
      <c r="FQ18" s="680"/>
      <c r="FR18" s="574"/>
      <c r="FS18" s="681"/>
      <c r="FT18" s="680"/>
      <c r="FU18" s="579"/>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c r="C19" s="674"/>
      <c r="D19" s="570"/>
      <c r="E19" s="675"/>
      <c r="F19" s="676"/>
      <c r="G19" s="677"/>
      <c r="H19" s="574"/>
      <c r="I19" s="678"/>
      <c r="J19" s="574"/>
      <c r="K19" s="678"/>
      <c r="L19" s="574"/>
      <c r="M19" s="678"/>
      <c r="N19" s="574"/>
      <c r="O19" s="678"/>
      <c r="P19" s="574"/>
      <c r="Q19" s="678"/>
      <c r="R19" s="574"/>
      <c r="S19" s="678"/>
      <c r="T19" s="574"/>
      <c r="U19" s="678"/>
      <c r="V19" s="574"/>
      <c r="W19" s="678"/>
      <c r="X19" s="574"/>
      <c r="Y19" s="678"/>
      <c r="Z19" s="574"/>
      <c r="AA19" s="678"/>
      <c r="AB19" s="574"/>
      <c r="AC19" s="678"/>
      <c r="AD19" s="574"/>
      <c r="AE19" s="678"/>
      <c r="AF19" s="574"/>
      <c r="AG19" s="678"/>
      <c r="AH19" s="574"/>
      <c r="AI19" s="678"/>
      <c r="AJ19" s="574"/>
      <c r="AK19" s="678"/>
      <c r="AL19" s="574"/>
      <c r="AM19" s="678"/>
      <c r="AN19" s="574"/>
      <c r="AO19" s="678"/>
      <c r="AP19" s="574"/>
      <c r="AQ19" s="678"/>
      <c r="AR19" s="574"/>
      <c r="AS19" s="678"/>
      <c r="AT19" s="574"/>
      <c r="AU19" s="678"/>
      <c r="AV19" s="574"/>
      <c r="AW19" s="678"/>
      <c r="AX19" s="574"/>
      <c r="AY19" s="678"/>
      <c r="AZ19" s="574"/>
      <c r="BA19" s="678"/>
      <c r="BB19" s="576"/>
      <c r="BC19" s="549"/>
      <c r="BD19" s="539"/>
      <c r="BE19" s="683"/>
      <c r="BF19" s="674"/>
      <c r="BG19" s="570"/>
      <c r="BH19" s="675"/>
      <c r="BI19" s="676"/>
      <c r="BJ19" s="677"/>
      <c r="BK19" s="574"/>
      <c r="BL19" s="678"/>
      <c r="BM19" s="574"/>
      <c r="BN19" s="678"/>
      <c r="BO19" s="574"/>
      <c r="BP19" s="678"/>
      <c r="BQ19" s="574"/>
      <c r="BR19" s="678"/>
      <c r="BS19" s="574"/>
      <c r="BT19" s="678"/>
      <c r="BU19" s="574"/>
      <c r="BV19" s="678"/>
      <c r="BW19" s="574"/>
      <c r="BX19" s="678"/>
      <c r="BY19" s="574"/>
      <c r="BZ19" s="678"/>
      <c r="CA19" s="574"/>
      <c r="CB19" s="678"/>
      <c r="CC19" s="574"/>
      <c r="CD19" s="678"/>
      <c r="CE19" s="574"/>
      <c r="CF19" s="678"/>
      <c r="CG19" s="574"/>
      <c r="CH19" s="678"/>
      <c r="CI19" s="574"/>
      <c r="CJ19" s="678"/>
      <c r="CK19" s="574"/>
      <c r="CL19" s="678"/>
      <c r="CM19" s="574"/>
      <c r="CN19" s="678"/>
      <c r="CO19" s="574"/>
      <c r="CP19" s="678"/>
      <c r="CQ19" s="574"/>
      <c r="CR19" s="678"/>
      <c r="CS19" s="574"/>
      <c r="CT19" s="678"/>
      <c r="CU19" s="574"/>
      <c r="CV19" s="678"/>
      <c r="CW19" s="574"/>
      <c r="CX19" s="678"/>
      <c r="CY19" s="574"/>
      <c r="CZ19" s="678"/>
      <c r="DA19" s="574"/>
      <c r="DB19" s="678"/>
      <c r="DC19" s="574"/>
      <c r="DD19" s="678"/>
      <c r="DE19" s="576"/>
      <c r="DF19" s="549"/>
      <c r="DG19" s="539"/>
      <c r="DH19" s="683"/>
      <c r="DI19" s="674"/>
      <c r="DJ19" s="570"/>
      <c r="DK19" s="675"/>
      <c r="DL19" s="676"/>
      <c r="DM19" s="677"/>
      <c r="DN19" s="574"/>
      <c r="DO19" s="678"/>
      <c r="DP19" s="574"/>
      <c r="DQ19" s="678"/>
      <c r="DR19" s="574"/>
      <c r="DS19" s="678"/>
      <c r="DT19" s="574"/>
      <c r="DU19" s="678"/>
      <c r="DV19" s="574"/>
      <c r="DW19" s="678"/>
      <c r="DX19" s="574"/>
      <c r="DY19" s="678"/>
      <c r="DZ19" s="574"/>
      <c r="EA19" s="678"/>
      <c r="EB19" s="574"/>
      <c r="EC19" s="678"/>
      <c r="ED19" s="574"/>
      <c r="EE19" s="678"/>
      <c r="EF19" s="574"/>
      <c r="EG19" s="678"/>
      <c r="EH19" s="574"/>
      <c r="EI19" s="678"/>
      <c r="EJ19" s="574"/>
      <c r="EK19" s="678"/>
      <c r="EL19" s="574"/>
      <c r="EM19" s="678"/>
      <c r="EN19" s="574"/>
      <c r="EO19" s="678"/>
      <c r="EP19" s="574"/>
      <c r="EQ19" s="678"/>
      <c r="ER19" s="574"/>
      <c r="ES19" s="678"/>
      <c r="ET19" s="574"/>
      <c r="EU19" s="678"/>
      <c r="EV19" s="574"/>
      <c r="EW19" s="678"/>
      <c r="EX19" s="574"/>
      <c r="EY19" s="678"/>
      <c r="EZ19" s="574"/>
      <c r="FA19" s="678"/>
      <c r="FB19" s="574"/>
      <c r="FC19" s="678"/>
      <c r="FD19" s="574"/>
      <c r="FE19" s="678"/>
      <c r="FF19" s="574"/>
      <c r="FG19" s="678"/>
      <c r="FH19" s="576"/>
      <c r="FI19" s="550"/>
      <c r="FJ19" s="551"/>
      <c r="FK19" s="683"/>
      <c r="FL19" s="674"/>
      <c r="FM19" s="570"/>
      <c r="FN19" s="675"/>
      <c r="FO19" s="676"/>
      <c r="FP19" s="679"/>
      <c r="FQ19" s="680"/>
      <c r="FR19" s="574"/>
      <c r="FS19" s="681"/>
      <c r="FT19" s="680"/>
      <c r="FU19" s="579"/>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0</v>
      </c>
      <c r="GO21" s="687"/>
      <c r="GP21" s="688"/>
      <c r="GQ21" s="620">
        <v>0</v>
      </c>
      <c r="GR21" s="621">
        <v>0</v>
      </c>
      <c r="GS21" s="565"/>
      <c r="GT21" s="660"/>
      <c r="GU21" s="684" t="s">
        <v>433</v>
      </c>
      <c r="GV21" s="685"/>
      <c r="GW21" s="686"/>
      <c r="GX21" s="689">
        <v>0</v>
      </c>
      <c r="GY21" s="690"/>
      <c r="GZ21" s="687"/>
      <c r="HA21" s="691">
        <v>0</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5.7</v>
      </c>
      <c r="GO23" s="487" t="s">
        <v>537</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538</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23</v>
      </c>
      <c r="Y26" s="1271"/>
      <c r="Z26" s="1264">
        <f>SUM(Z16:Z25)</f>
        <v>31</v>
      </c>
      <c r="AA26" s="1271"/>
      <c r="AB26" s="1264">
        <f>SUM(AB16:AB25)</f>
        <v>38</v>
      </c>
      <c r="AC26" s="1271"/>
      <c r="AD26" s="1264">
        <f>SUM(AD16:AD25)</f>
        <v>40</v>
      </c>
      <c r="AE26" s="1271"/>
      <c r="AF26" s="1264">
        <f>SUM(AF16:AF25)</f>
        <v>42</v>
      </c>
      <c r="AG26" s="1271"/>
      <c r="AH26" s="1264">
        <f>SUM(AH16:AH25)</f>
        <v>42</v>
      </c>
      <c r="AI26" s="1271"/>
      <c r="AJ26" s="1264">
        <f>SUM(AJ16:AJ25)</f>
        <v>38</v>
      </c>
      <c r="AK26" s="1271"/>
      <c r="AL26" s="1264">
        <f>SUM(AL16:AL25)</f>
        <v>35</v>
      </c>
      <c r="AM26" s="1271"/>
      <c r="AN26" s="1264">
        <f>SUM(AN16:AN25)</f>
        <v>28</v>
      </c>
      <c r="AO26" s="1271"/>
      <c r="AP26" s="1264">
        <f>SUM(AP16:AP25)</f>
        <v>23</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539</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21</v>
      </c>
      <c r="CB26" s="1271"/>
      <c r="CC26" s="1264">
        <f>SUM(CC16:CC25)</f>
        <v>28</v>
      </c>
      <c r="CD26" s="1271"/>
      <c r="CE26" s="1264">
        <f>SUM(CE16:CE25)</f>
        <v>35</v>
      </c>
      <c r="CF26" s="1271"/>
      <c r="CG26" s="1264">
        <f>SUM(CG16:CG25)</f>
        <v>38</v>
      </c>
      <c r="CH26" s="1271"/>
      <c r="CI26" s="1264">
        <f>SUM(CI16:CI25)</f>
        <v>40</v>
      </c>
      <c r="CJ26" s="1271"/>
      <c r="CK26" s="1264">
        <f>SUM(CK16:CK25)</f>
        <v>38</v>
      </c>
      <c r="CL26" s="1271"/>
      <c r="CM26" s="1264">
        <f>SUM(CM16:CM25)</f>
        <v>35</v>
      </c>
      <c r="CN26" s="1271"/>
      <c r="CO26" s="1264">
        <f>SUM(CO16:CO25)</f>
        <v>31</v>
      </c>
      <c r="CP26" s="1271"/>
      <c r="CQ26" s="1264">
        <f>SUM(CQ16:CQ25)</f>
        <v>28</v>
      </c>
      <c r="CR26" s="1271"/>
      <c r="CS26" s="1264">
        <f>SUM(CS16:CS25)</f>
        <v>21</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538</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5</v>
      </c>
      <c r="EE26" s="1271"/>
      <c r="EF26" s="1264">
        <f>SUM(EF16:EF25)</f>
        <v>14</v>
      </c>
      <c r="EG26" s="1271"/>
      <c r="EH26" s="1264">
        <f>SUM(EH16:EH25)</f>
        <v>21</v>
      </c>
      <c r="EI26" s="1271"/>
      <c r="EJ26" s="1264">
        <f>SUM(EJ16:EJ25)</f>
        <v>26</v>
      </c>
      <c r="EK26" s="1271"/>
      <c r="EL26" s="1264">
        <f>SUM(EL16:EL25)</f>
        <v>26</v>
      </c>
      <c r="EM26" s="1271"/>
      <c r="EN26" s="1264">
        <f>SUM(EN16:EN25)</f>
        <v>23</v>
      </c>
      <c r="EO26" s="1271"/>
      <c r="EP26" s="1264">
        <f>SUM(EP16:EP25)</f>
        <v>21</v>
      </c>
      <c r="EQ26" s="1271"/>
      <c r="ER26" s="1264">
        <f>SUM(ER16:ER25)</f>
        <v>19</v>
      </c>
      <c r="ES26" s="1271"/>
      <c r="ET26" s="1264">
        <f>SUM(ET16:ET25)</f>
        <v>12</v>
      </c>
      <c r="EU26" s="1271"/>
      <c r="EV26" s="1264">
        <f>SUM(EV16:EV25)</f>
        <v>5</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538</v>
      </c>
      <c r="FN26" s="629"/>
      <c r="FO26" s="629"/>
      <c r="FP26" s="1267"/>
      <c r="FQ26" s="638"/>
      <c r="FR26" s="1264">
        <f>SUM(FR16:FR25)</f>
        <v>120</v>
      </c>
      <c r="FS26" s="1272"/>
      <c r="FT26" s="638"/>
      <c r="FU26" s="1269">
        <f>SUM(FU16:FU25)</f>
        <v>122</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v>
      </c>
      <c r="GZ26" s="567"/>
      <c r="HA26" s="517"/>
      <c r="HB26" s="517"/>
      <c r="HC26" s="517"/>
      <c r="HD26" s="635"/>
      <c r="HE26" s="406"/>
      <c r="HF26" s="406"/>
      <c r="HG26" s="567"/>
      <c r="HH26" s="635"/>
      <c r="HI26" s="406"/>
      <c r="HJ26" s="406"/>
    </row>
    <row r="27" spans="1:218" ht="20.100000000000001" customHeight="1">
      <c r="A27" s="1273" t="s">
        <v>549</v>
      </c>
      <c r="B27" s="721"/>
      <c r="C27" s="722"/>
      <c r="D27" s="650"/>
      <c r="E27" s="722"/>
      <c r="F27" s="722"/>
      <c r="G27" s="723" t="s">
        <v>367</v>
      </c>
      <c r="H27" s="650" t="s">
        <v>368</v>
      </c>
      <c r="I27" s="724" t="s">
        <v>295</v>
      </c>
      <c r="J27" s="650" t="s">
        <v>368</v>
      </c>
      <c r="K27" s="725" t="s">
        <v>367</v>
      </c>
      <c r="L27" s="650" t="s">
        <v>368</v>
      </c>
      <c r="M27" s="725" t="s">
        <v>367</v>
      </c>
      <c r="N27" s="650" t="s">
        <v>368</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7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7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c r="E28" s="738"/>
      <c r="F28" s="739"/>
      <c r="G28" s="740"/>
      <c r="H28" s="546"/>
      <c r="I28" s="741"/>
      <c r="J28" s="546"/>
      <c r="K28" s="741"/>
      <c r="L28" s="546"/>
      <c r="M28" s="741"/>
      <c r="N28" s="546"/>
      <c r="O28" s="741"/>
      <c r="P28" s="546"/>
      <c r="Q28" s="741"/>
      <c r="R28" s="546"/>
      <c r="S28" s="741"/>
      <c r="T28" s="546"/>
      <c r="U28" s="741"/>
      <c r="V28" s="546"/>
      <c r="W28" s="741"/>
      <c r="X28" s="546">
        <v>0</v>
      </c>
      <c r="Y28" s="741"/>
      <c r="Z28" s="546">
        <v>0</v>
      </c>
      <c r="AA28" s="741"/>
      <c r="AB28" s="546">
        <v>0</v>
      </c>
      <c r="AC28" s="741"/>
      <c r="AD28" s="546">
        <v>0</v>
      </c>
      <c r="AE28" s="741"/>
      <c r="AF28" s="546">
        <v>0</v>
      </c>
      <c r="AG28" s="741"/>
      <c r="AH28" s="546">
        <v>0</v>
      </c>
      <c r="AI28" s="741"/>
      <c r="AJ28" s="546">
        <v>0</v>
      </c>
      <c r="AK28" s="741"/>
      <c r="AL28" s="546">
        <v>0</v>
      </c>
      <c r="AM28" s="741"/>
      <c r="AN28" s="546">
        <v>0</v>
      </c>
      <c r="AO28" s="741"/>
      <c r="AP28" s="546">
        <v>0</v>
      </c>
      <c r="AQ28" s="741"/>
      <c r="AR28" s="546"/>
      <c r="AS28" s="741"/>
      <c r="AT28" s="546"/>
      <c r="AU28" s="741"/>
      <c r="AV28" s="546"/>
      <c r="AW28" s="741"/>
      <c r="AX28" s="546"/>
      <c r="AY28" s="741"/>
      <c r="AZ28" s="546"/>
      <c r="BA28" s="741"/>
      <c r="BB28" s="667"/>
      <c r="BC28" s="549"/>
      <c r="BD28" s="539"/>
      <c r="BE28" s="735" t="s">
        <v>372</v>
      </c>
      <c r="BF28" s="736"/>
      <c r="BG28" s="737">
        <v>0</v>
      </c>
      <c r="BH28" s="738">
        <v>0</v>
      </c>
      <c r="BI28" s="739"/>
      <c r="BJ28" s="740"/>
      <c r="BK28" s="546"/>
      <c r="BL28" s="741"/>
      <c r="BM28" s="546"/>
      <c r="BN28" s="741"/>
      <c r="BO28" s="546"/>
      <c r="BP28" s="741"/>
      <c r="BQ28" s="546"/>
      <c r="BR28" s="741"/>
      <c r="BS28" s="546"/>
      <c r="BT28" s="741"/>
      <c r="BU28" s="546"/>
      <c r="BV28" s="741"/>
      <c r="BW28" s="546"/>
      <c r="BX28" s="741"/>
      <c r="BY28" s="546"/>
      <c r="BZ28" s="741"/>
      <c r="CA28" s="546">
        <v>0</v>
      </c>
      <c r="CB28" s="741"/>
      <c r="CC28" s="546">
        <v>0</v>
      </c>
      <c r="CD28" s="741"/>
      <c r="CE28" s="546">
        <v>0</v>
      </c>
      <c r="CF28" s="741"/>
      <c r="CG28" s="546">
        <v>0</v>
      </c>
      <c r="CH28" s="741"/>
      <c r="CI28" s="546">
        <v>0</v>
      </c>
      <c r="CJ28" s="741"/>
      <c r="CK28" s="546">
        <v>0</v>
      </c>
      <c r="CL28" s="741"/>
      <c r="CM28" s="546">
        <v>0</v>
      </c>
      <c r="CN28" s="741"/>
      <c r="CO28" s="546">
        <v>0</v>
      </c>
      <c r="CP28" s="741"/>
      <c r="CQ28" s="546">
        <v>0</v>
      </c>
      <c r="CR28" s="741"/>
      <c r="CS28" s="546">
        <v>0</v>
      </c>
      <c r="CT28" s="741"/>
      <c r="CU28" s="546"/>
      <c r="CV28" s="741"/>
      <c r="CW28" s="546"/>
      <c r="CX28" s="741"/>
      <c r="CY28" s="546"/>
      <c r="CZ28" s="741"/>
      <c r="DA28" s="546"/>
      <c r="DB28" s="741"/>
      <c r="DC28" s="546"/>
      <c r="DD28" s="741"/>
      <c r="DE28" s="667"/>
      <c r="DF28" s="549"/>
      <c r="DG28" s="539"/>
      <c r="DH28" s="735" t="s">
        <v>372</v>
      </c>
      <c r="DI28" s="736"/>
      <c r="DJ28" s="737">
        <v>0</v>
      </c>
      <c r="DK28" s="738">
        <v>0</v>
      </c>
      <c r="DL28" s="739"/>
      <c r="DM28" s="740"/>
      <c r="DN28" s="546"/>
      <c r="DO28" s="741"/>
      <c r="DP28" s="546"/>
      <c r="DQ28" s="741"/>
      <c r="DR28" s="546"/>
      <c r="DS28" s="741"/>
      <c r="DT28" s="546"/>
      <c r="DU28" s="741"/>
      <c r="DV28" s="546"/>
      <c r="DW28" s="741"/>
      <c r="DX28" s="546"/>
      <c r="DY28" s="741"/>
      <c r="DZ28" s="546"/>
      <c r="EA28" s="741"/>
      <c r="EB28" s="546"/>
      <c r="EC28" s="741"/>
      <c r="ED28" s="546">
        <v>0</v>
      </c>
      <c r="EE28" s="741"/>
      <c r="EF28" s="546">
        <v>0</v>
      </c>
      <c r="EG28" s="741"/>
      <c r="EH28" s="546">
        <v>0</v>
      </c>
      <c r="EI28" s="741"/>
      <c r="EJ28" s="546">
        <v>0</v>
      </c>
      <c r="EK28" s="741"/>
      <c r="EL28" s="546">
        <v>0</v>
      </c>
      <c r="EM28" s="741"/>
      <c r="EN28" s="546">
        <v>0</v>
      </c>
      <c r="EO28" s="741"/>
      <c r="EP28" s="546">
        <v>0</v>
      </c>
      <c r="EQ28" s="741"/>
      <c r="ER28" s="546">
        <v>0</v>
      </c>
      <c r="ES28" s="741"/>
      <c r="ET28" s="546">
        <v>0</v>
      </c>
      <c r="EU28" s="741"/>
      <c r="EV28" s="546">
        <v>0</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2</v>
      </c>
      <c r="E29" s="750">
        <v>5.7</v>
      </c>
      <c r="F29" s="751" t="s">
        <v>373</v>
      </c>
      <c r="G29" s="752"/>
      <c r="H29" s="574"/>
      <c r="I29" s="753"/>
      <c r="J29" s="574"/>
      <c r="K29" s="753"/>
      <c r="L29" s="574"/>
      <c r="M29" s="753"/>
      <c r="N29" s="574"/>
      <c r="O29" s="753"/>
      <c r="P29" s="574"/>
      <c r="Q29" s="753"/>
      <c r="R29" s="574"/>
      <c r="S29" s="753"/>
      <c r="T29" s="574"/>
      <c r="U29" s="753"/>
      <c r="V29" s="574"/>
      <c r="W29" s="753">
        <v>1</v>
      </c>
      <c r="X29" s="574">
        <v>11</v>
      </c>
      <c r="Y29" s="753">
        <v>1</v>
      </c>
      <c r="Z29" s="574">
        <v>11</v>
      </c>
      <c r="AA29" s="753">
        <v>1</v>
      </c>
      <c r="AB29" s="574">
        <v>11</v>
      </c>
      <c r="AC29" s="753">
        <v>1</v>
      </c>
      <c r="AD29" s="574">
        <v>11</v>
      </c>
      <c r="AE29" s="753">
        <v>1</v>
      </c>
      <c r="AF29" s="574">
        <v>11</v>
      </c>
      <c r="AG29" s="753">
        <v>1</v>
      </c>
      <c r="AH29" s="574">
        <v>11</v>
      </c>
      <c r="AI29" s="753">
        <v>1</v>
      </c>
      <c r="AJ29" s="574">
        <v>11</v>
      </c>
      <c r="AK29" s="753">
        <v>1</v>
      </c>
      <c r="AL29" s="574">
        <v>11</v>
      </c>
      <c r="AM29" s="753">
        <v>1</v>
      </c>
      <c r="AN29" s="574">
        <v>11</v>
      </c>
      <c r="AO29" s="753">
        <v>1</v>
      </c>
      <c r="AP29" s="574">
        <v>11</v>
      </c>
      <c r="AQ29" s="753"/>
      <c r="AR29" s="574"/>
      <c r="AS29" s="753"/>
      <c r="AT29" s="574"/>
      <c r="AU29" s="753"/>
      <c r="AV29" s="574"/>
      <c r="AW29" s="753"/>
      <c r="AX29" s="574"/>
      <c r="AY29" s="753"/>
      <c r="AZ29" s="574"/>
      <c r="BA29" s="753"/>
      <c r="BB29" s="576"/>
      <c r="BC29" s="549"/>
      <c r="BD29" s="539"/>
      <c r="BE29" s="747" t="s">
        <v>374</v>
      </c>
      <c r="BF29" s="748"/>
      <c r="BG29" s="749">
        <v>2</v>
      </c>
      <c r="BH29" s="750">
        <v>5.7</v>
      </c>
      <c r="BI29" s="751" t="s">
        <v>373</v>
      </c>
      <c r="BJ29" s="752"/>
      <c r="BK29" s="574"/>
      <c r="BL29" s="753"/>
      <c r="BM29" s="574"/>
      <c r="BN29" s="753"/>
      <c r="BO29" s="574"/>
      <c r="BP29" s="753"/>
      <c r="BQ29" s="574"/>
      <c r="BR29" s="753"/>
      <c r="BS29" s="574"/>
      <c r="BT29" s="753"/>
      <c r="BU29" s="574"/>
      <c r="BV29" s="753"/>
      <c r="BW29" s="574"/>
      <c r="BX29" s="753"/>
      <c r="BY29" s="574"/>
      <c r="BZ29" s="753">
        <v>1</v>
      </c>
      <c r="CA29" s="574">
        <v>11</v>
      </c>
      <c r="CB29" s="753">
        <v>1</v>
      </c>
      <c r="CC29" s="574">
        <v>11</v>
      </c>
      <c r="CD29" s="753">
        <v>1</v>
      </c>
      <c r="CE29" s="574">
        <v>11</v>
      </c>
      <c r="CF29" s="753">
        <v>1</v>
      </c>
      <c r="CG29" s="574">
        <v>11</v>
      </c>
      <c r="CH29" s="753">
        <v>1</v>
      </c>
      <c r="CI29" s="574">
        <v>11</v>
      </c>
      <c r="CJ29" s="753">
        <v>1</v>
      </c>
      <c r="CK29" s="574">
        <v>11</v>
      </c>
      <c r="CL29" s="753">
        <v>1</v>
      </c>
      <c r="CM29" s="574">
        <v>11</v>
      </c>
      <c r="CN29" s="753">
        <v>1</v>
      </c>
      <c r="CO29" s="574">
        <v>11</v>
      </c>
      <c r="CP29" s="753">
        <v>1</v>
      </c>
      <c r="CQ29" s="574">
        <v>11</v>
      </c>
      <c r="CR29" s="753">
        <v>1</v>
      </c>
      <c r="CS29" s="574">
        <v>11</v>
      </c>
      <c r="CT29" s="753"/>
      <c r="CU29" s="574"/>
      <c r="CV29" s="753"/>
      <c r="CW29" s="574"/>
      <c r="CX29" s="753"/>
      <c r="CY29" s="574"/>
      <c r="CZ29" s="753"/>
      <c r="DA29" s="574"/>
      <c r="DB29" s="753"/>
      <c r="DC29" s="574"/>
      <c r="DD29" s="753"/>
      <c r="DE29" s="576"/>
      <c r="DF29" s="549"/>
      <c r="DG29" s="539"/>
      <c r="DH29" s="747" t="s">
        <v>374</v>
      </c>
      <c r="DI29" s="748"/>
      <c r="DJ29" s="749">
        <v>2</v>
      </c>
      <c r="DK29" s="750">
        <v>5.7</v>
      </c>
      <c r="DL29" s="751" t="s">
        <v>373</v>
      </c>
      <c r="DM29" s="752"/>
      <c r="DN29" s="574"/>
      <c r="DO29" s="753"/>
      <c r="DP29" s="574"/>
      <c r="DQ29" s="753"/>
      <c r="DR29" s="574"/>
      <c r="DS29" s="753"/>
      <c r="DT29" s="574"/>
      <c r="DU29" s="753"/>
      <c r="DV29" s="574"/>
      <c r="DW29" s="753"/>
      <c r="DX29" s="574"/>
      <c r="DY29" s="753"/>
      <c r="DZ29" s="574"/>
      <c r="EA29" s="753"/>
      <c r="EB29" s="574"/>
      <c r="EC29" s="753">
        <v>1</v>
      </c>
      <c r="ED29" s="574">
        <v>11</v>
      </c>
      <c r="EE29" s="753">
        <v>1</v>
      </c>
      <c r="EF29" s="574">
        <v>11</v>
      </c>
      <c r="EG29" s="753">
        <v>1</v>
      </c>
      <c r="EH29" s="574">
        <v>11</v>
      </c>
      <c r="EI29" s="753">
        <v>1</v>
      </c>
      <c r="EJ29" s="574">
        <v>11</v>
      </c>
      <c r="EK29" s="753">
        <v>1</v>
      </c>
      <c r="EL29" s="574">
        <v>11</v>
      </c>
      <c r="EM29" s="753">
        <v>1</v>
      </c>
      <c r="EN29" s="574">
        <v>11</v>
      </c>
      <c r="EO29" s="753">
        <v>1</v>
      </c>
      <c r="EP29" s="574">
        <v>11</v>
      </c>
      <c r="EQ29" s="753">
        <v>1</v>
      </c>
      <c r="ER29" s="574">
        <v>11</v>
      </c>
      <c r="ES29" s="753">
        <v>1</v>
      </c>
      <c r="ET29" s="574">
        <v>11</v>
      </c>
      <c r="EU29" s="753">
        <v>1</v>
      </c>
      <c r="EV29" s="574">
        <v>11</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c r="D30" s="750">
        <v>0</v>
      </c>
      <c r="E30" s="759"/>
      <c r="F30" s="760"/>
      <c r="G30" s="752"/>
      <c r="H30" s="574"/>
      <c r="I30" s="753"/>
      <c r="J30" s="574"/>
      <c r="K30" s="753"/>
      <c r="L30" s="574"/>
      <c r="M30" s="753"/>
      <c r="N30" s="574"/>
      <c r="O30" s="753"/>
      <c r="P30" s="574"/>
      <c r="Q30" s="753"/>
      <c r="R30" s="574"/>
      <c r="S30" s="753"/>
      <c r="T30" s="574"/>
      <c r="U30" s="753"/>
      <c r="V30" s="574"/>
      <c r="W30" s="753"/>
      <c r="X30" s="574">
        <v>0</v>
      </c>
      <c r="Y30" s="753"/>
      <c r="Z30" s="574">
        <v>0</v>
      </c>
      <c r="AA30" s="753"/>
      <c r="AB30" s="574">
        <v>0</v>
      </c>
      <c r="AC30" s="753"/>
      <c r="AD30" s="574">
        <v>0</v>
      </c>
      <c r="AE30" s="753"/>
      <c r="AF30" s="574">
        <v>0</v>
      </c>
      <c r="AG30" s="753"/>
      <c r="AH30" s="574">
        <v>0</v>
      </c>
      <c r="AI30" s="753"/>
      <c r="AJ30" s="574">
        <v>0</v>
      </c>
      <c r="AK30" s="753"/>
      <c r="AL30" s="574">
        <v>0</v>
      </c>
      <c r="AM30" s="753"/>
      <c r="AN30" s="574">
        <v>0</v>
      </c>
      <c r="AO30" s="753"/>
      <c r="AP30" s="574">
        <v>0</v>
      </c>
      <c r="AQ30" s="753"/>
      <c r="AR30" s="574"/>
      <c r="AS30" s="753"/>
      <c r="AT30" s="574"/>
      <c r="AU30" s="753"/>
      <c r="AV30" s="574"/>
      <c r="AW30" s="753"/>
      <c r="AX30" s="574"/>
      <c r="AY30" s="753"/>
      <c r="AZ30" s="574"/>
      <c r="BA30" s="753"/>
      <c r="BB30" s="576"/>
      <c r="BC30" s="549"/>
      <c r="BD30" s="539"/>
      <c r="BE30" s="747" t="s">
        <v>375</v>
      </c>
      <c r="BF30" s="749">
        <v>0</v>
      </c>
      <c r="BG30" s="750">
        <v>0</v>
      </c>
      <c r="BH30" s="759">
        <v>0</v>
      </c>
      <c r="BI30" s="760"/>
      <c r="BJ30" s="752"/>
      <c r="BK30" s="574"/>
      <c r="BL30" s="753"/>
      <c r="BM30" s="574"/>
      <c r="BN30" s="753"/>
      <c r="BO30" s="574"/>
      <c r="BP30" s="753"/>
      <c r="BQ30" s="574"/>
      <c r="BR30" s="753"/>
      <c r="BS30" s="574"/>
      <c r="BT30" s="753"/>
      <c r="BU30" s="574"/>
      <c r="BV30" s="753"/>
      <c r="BW30" s="574"/>
      <c r="BX30" s="753"/>
      <c r="BY30" s="574"/>
      <c r="BZ30" s="753"/>
      <c r="CA30" s="574">
        <v>0</v>
      </c>
      <c r="CB30" s="753"/>
      <c r="CC30" s="574">
        <v>0</v>
      </c>
      <c r="CD30" s="753"/>
      <c r="CE30" s="574">
        <v>0</v>
      </c>
      <c r="CF30" s="753"/>
      <c r="CG30" s="574">
        <v>0</v>
      </c>
      <c r="CH30" s="753"/>
      <c r="CI30" s="574">
        <v>0</v>
      </c>
      <c r="CJ30" s="753"/>
      <c r="CK30" s="574">
        <v>0</v>
      </c>
      <c r="CL30" s="753"/>
      <c r="CM30" s="574">
        <v>0</v>
      </c>
      <c r="CN30" s="753"/>
      <c r="CO30" s="574">
        <v>0</v>
      </c>
      <c r="CP30" s="753"/>
      <c r="CQ30" s="574">
        <v>0</v>
      </c>
      <c r="CR30" s="753"/>
      <c r="CS30" s="574">
        <v>0</v>
      </c>
      <c r="CT30" s="753"/>
      <c r="CU30" s="574"/>
      <c r="CV30" s="753"/>
      <c r="CW30" s="574"/>
      <c r="CX30" s="753"/>
      <c r="CY30" s="574"/>
      <c r="CZ30" s="753"/>
      <c r="DA30" s="574"/>
      <c r="DB30" s="753"/>
      <c r="DC30" s="574"/>
      <c r="DD30" s="753"/>
      <c r="DE30" s="576"/>
      <c r="DF30" s="549"/>
      <c r="DG30" s="539"/>
      <c r="DH30" s="747" t="s">
        <v>375</v>
      </c>
      <c r="DI30" s="749">
        <v>0</v>
      </c>
      <c r="DJ30" s="750">
        <v>0</v>
      </c>
      <c r="DK30" s="759">
        <v>0</v>
      </c>
      <c r="DL30" s="760"/>
      <c r="DM30" s="752"/>
      <c r="DN30" s="574"/>
      <c r="DO30" s="753"/>
      <c r="DP30" s="574"/>
      <c r="DQ30" s="753"/>
      <c r="DR30" s="574"/>
      <c r="DS30" s="753"/>
      <c r="DT30" s="574"/>
      <c r="DU30" s="753"/>
      <c r="DV30" s="574"/>
      <c r="DW30" s="753"/>
      <c r="DX30" s="574"/>
      <c r="DY30" s="753"/>
      <c r="DZ30" s="574"/>
      <c r="EA30" s="753"/>
      <c r="EB30" s="574"/>
      <c r="EC30" s="753"/>
      <c r="ED30" s="574">
        <v>0</v>
      </c>
      <c r="EE30" s="753"/>
      <c r="EF30" s="574">
        <v>0</v>
      </c>
      <c r="EG30" s="753"/>
      <c r="EH30" s="574">
        <v>0</v>
      </c>
      <c r="EI30" s="753"/>
      <c r="EJ30" s="574">
        <v>0</v>
      </c>
      <c r="EK30" s="753"/>
      <c r="EL30" s="574">
        <v>0</v>
      </c>
      <c r="EM30" s="753"/>
      <c r="EN30" s="574">
        <v>0</v>
      </c>
      <c r="EO30" s="753"/>
      <c r="EP30" s="574">
        <v>0</v>
      </c>
      <c r="EQ30" s="753"/>
      <c r="ER30" s="574">
        <v>0</v>
      </c>
      <c r="ES30" s="753"/>
      <c r="ET30" s="574">
        <v>0</v>
      </c>
      <c r="EU30" s="753"/>
      <c r="EV30" s="574">
        <v>0</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65"/>
      <c r="J33" s="1264">
        <v>0</v>
      </c>
      <c r="K33" s="1265"/>
      <c r="L33" s="1264">
        <v>0</v>
      </c>
      <c r="M33" s="1265"/>
      <c r="N33" s="1264">
        <v>0</v>
      </c>
      <c r="O33" s="1265"/>
      <c r="P33" s="1264">
        <v>0</v>
      </c>
      <c r="Q33" s="1265"/>
      <c r="R33" s="1264">
        <v>0</v>
      </c>
      <c r="S33" s="1265"/>
      <c r="T33" s="1264">
        <v>0</v>
      </c>
      <c r="U33" s="1265"/>
      <c r="V33" s="1264">
        <v>0</v>
      </c>
      <c r="W33" s="1265"/>
      <c r="X33" s="1264">
        <v>11</v>
      </c>
      <c r="Y33" s="1265"/>
      <c r="Z33" s="1264">
        <v>11</v>
      </c>
      <c r="AA33" s="1265"/>
      <c r="AB33" s="1264">
        <v>11</v>
      </c>
      <c r="AC33" s="1265"/>
      <c r="AD33" s="1264">
        <v>11</v>
      </c>
      <c r="AE33" s="1265"/>
      <c r="AF33" s="1264">
        <v>11</v>
      </c>
      <c r="AG33" s="1265"/>
      <c r="AH33" s="1264">
        <v>11</v>
      </c>
      <c r="AI33" s="1265"/>
      <c r="AJ33" s="1264">
        <v>11</v>
      </c>
      <c r="AK33" s="1265"/>
      <c r="AL33" s="1264">
        <v>11</v>
      </c>
      <c r="AM33" s="1265"/>
      <c r="AN33" s="1264">
        <v>11</v>
      </c>
      <c r="AO33" s="1265"/>
      <c r="AP33" s="1264">
        <v>11</v>
      </c>
      <c r="AQ33" s="1265"/>
      <c r="AR33" s="1264">
        <v>0</v>
      </c>
      <c r="AS33" s="1265"/>
      <c r="AT33" s="1264">
        <v>0</v>
      </c>
      <c r="AU33" s="1265"/>
      <c r="AV33" s="1264">
        <v>0</v>
      </c>
      <c r="AW33" s="1265"/>
      <c r="AX33" s="1264">
        <v>0</v>
      </c>
      <c r="AY33" s="1265"/>
      <c r="AZ33" s="1264">
        <v>0</v>
      </c>
      <c r="BA33" s="1265"/>
      <c r="BB33" s="1266">
        <v>0</v>
      </c>
      <c r="BC33" s="635"/>
      <c r="BD33" s="628"/>
      <c r="BE33" s="629"/>
      <c r="BF33" s="629"/>
      <c r="BG33" s="630" t="s">
        <v>378</v>
      </c>
      <c r="BH33" s="629"/>
      <c r="BI33" s="629"/>
      <c r="BJ33" s="1263"/>
      <c r="BK33" s="1264">
        <v>0</v>
      </c>
      <c r="BL33" s="1265"/>
      <c r="BM33" s="1264">
        <v>0</v>
      </c>
      <c r="BN33" s="1265"/>
      <c r="BO33" s="1264">
        <v>0</v>
      </c>
      <c r="BP33" s="1265"/>
      <c r="BQ33" s="1264">
        <v>0</v>
      </c>
      <c r="BR33" s="1265"/>
      <c r="BS33" s="1264">
        <v>0</v>
      </c>
      <c r="BT33" s="1265"/>
      <c r="BU33" s="1264">
        <v>0</v>
      </c>
      <c r="BV33" s="1265"/>
      <c r="BW33" s="1264">
        <v>0</v>
      </c>
      <c r="BX33" s="1265"/>
      <c r="BY33" s="1264">
        <v>0</v>
      </c>
      <c r="BZ33" s="1265"/>
      <c r="CA33" s="1264">
        <v>11</v>
      </c>
      <c r="CB33" s="1265"/>
      <c r="CC33" s="1264">
        <v>11</v>
      </c>
      <c r="CD33" s="1265"/>
      <c r="CE33" s="1264">
        <v>11</v>
      </c>
      <c r="CF33" s="1265"/>
      <c r="CG33" s="1264">
        <v>11</v>
      </c>
      <c r="CH33" s="1265"/>
      <c r="CI33" s="1264">
        <v>11</v>
      </c>
      <c r="CJ33" s="1265"/>
      <c r="CK33" s="1264">
        <v>11</v>
      </c>
      <c r="CL33" s="1265"/>
      <c r="CM33" s="1264">
        <v>11</v>
      </c>
      <c r="CN33" s="1265"/>
      <c r="CO33" s="1264">
        <v>11</v>
      </c>
      <c r="CP33" s="1265"/>
      <c r="CQ33" s="1264">
        <v>11</v>
      </c>
      <c r="CR33" s="1265"/>
      <c r="CS33" s="1264">
        <v>11</v>
      </c>
      <c r="CT33" s="1265"/>
      <c r="CU33" s="1264">
        <v>0</v>
      </c>
      <c r="CV33" s="1265"/>
      <c r="CW33" s="1264">
        <v>0</v>
      </c>
      <c r="CX33" s="1265"/>
      <c r="CY33" s="1264">
        <v>0</v>
      </c>
      <c r="CZ33" s="1265"/>
      <c r="DA33" s="1264">
        <v>0</v>
      </c>
      <c r="DB33" s="1265"/>
      <c r="DC33" s="1264">
        <v>0</v>
      </c>
      <c r="DD33" s="1265"/>
      <c r="DE33" s="1266">
        <v>0</v>
      </c>
      <c r="DF33" s="635"/>
      <c r="DG33" s="628"/>
      <c r="DH33" s="629"/>
      <c r="DI33" s="629"/>
      <c r="DJ33" s="630" t="s">
        <v>378</v>
      </c>
      <c r="DK33" s="629"/>
      <c r="DL33" s="629"/>
      <c r="DM33" s="1263"/>
      <c r="DN33" s="1264">
        <v>0</v>
      </c>
      <c r="DO33" s="1265"/>
      <c r="DP33" s="1264">
        <v>0</v>
      </c>
      <c r="DQ33" s="1265"/>
      <c r="DR33" s="1264">
        <v>0</v>
      </c>
      <c r="DS33" s="1265"/>
      <c r="DT33" s="1264">
        <v>0</v>
      </c>
      <c r="DU33" s="1265"/>
      <c r="DV33" s="1264">
        <v>0</v>
      </c>
      <c r="DW33" s="1265"/>
      <c r="DX33" s="1264">
        <v>0</v>
      </c>
      <c r="DY33" s="1265"/>
      <c r="DZ33" s="1264">
        <v>0</v>
      </c>
      <c r="EA33" s="1265"/>
      <c r="EB33" s="1264">
        <v>0</v>
      </c>
      <c r="EC33" s="1265"/>
      <c r="ED33" s="1264">
        <v>11</v>
      </c>
      <c r="EE33" s="1265"/>
      <c r="EF33" s="1264">
        <v>11</v>
      </c>
      <c r="EG33" s="1265"/>
      <c r="EH33" s="1264">
        <v>11</v>
      </c>
      <c r="EI33" s="1265"/>
      <c r="EJ33" s="1264">
        <v>11</v>
      </c>
      <c r="EK33" s="1265"/>
      <c r="EL33" s="1264">
        <v>11</v>
      </c>
      <c r="EM33" s="1265"/>
      <c r="EN33" s="1264">
        <v>11</v>
      </c>
      <c r="EO33" s="1265"/>
      <c r="EP33" s="1264">
        <v>11</v>
      </c>
      <c r="EQ33" s="1265"/>
      <c r="ER33" s="1264">
        <v>11</v>
      </c>
      <c r="ES33" s="1265"/>
      <c r="ET33" s="1264">
        <v>11</v>
      </c>
      <c r="EU33" s="1265"/>
      <c r="EV33" s="1264">
        <v>11</v>
      </c>
      <c r="EW33" s="1265"/>
      <c r="EX33" s="1264">
        <v>0</v>
      </c>
      <c r="EY33" s="1265"/>
      <c r="EZ33" s="1264">
        <v>0</v>
      </c>
      <c r="FA33" s="1265"/>
      <c r="FB33" s="1264">
        <v>0</v>
      </c>
      <c r="FC33" s="1265"/>
      <c r="FD33" s="1264">
        <v>0</v>
      </c>
      <c r="FE33" s="1265"/>
      <c r="FF33" s="1264">
        <v>0</v>
      </c>
      <c r="FG33" s="1265"/>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203</v>
      </c>
      <c r="GV33" s="795"/>
      <c r="GW33" s="796">
        <v>0</v>
      </c>
      <c r="GX33" s="797">
        <v>0</v>
      </c>
      <c r="GY33" s="797">
        <v>7.05</v>
      </c>
      <c r="GZ33" s="797">
        <v>0</v>
      </c>
      <c r="HA33" s="797">
        <v>7.05</v>
      </c>
      <c r="HB33" s="798">
        <v>5.7</v>
      </c>
      <c r="HC33" s="404"/>
      <c r="HD33" s="635"/>
      <c r="HE33" s="406"/>
      <c r="HF33" s="406"/>
    </row>
    <row r="34" spans="1:219" ht="20.100000000000001" customHeight="1">
      <c r="A34" s="127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7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7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550</v>
      </c>
      <c r="GL34" s="807"/>
      <c r="GM34" s="807"/>
      <c r="GN34" s="807"/>
      <c r="GO34" s="807"/>
      <c r="GP34" s="807"/>
      <c r="GQ34" s="602">
        <v>7</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76">
        <v>0</v>
      </c>
      <c r="I36" s="1277"/>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79">
        <v>0</v>
      </c>
      <c r="BC36" s="635"/>
      <c r="BD36" s="811"/>
      <c r="BE36" s="629"/>
      <c r="BF36" s="629"/>
      <c r="BG36" s="630" t="s">
        <v>382</v>
      </c>
      <c r="BH36" s="629"/>
      <c r="BI36" s="629"/>
      <c r="BJ36" s="1275"/>
      <c r="BK36" s="1276">
        <v>0</v>
      </c>
      <c r="BL36" s="1277"/>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79">
        <v>0</v>
      </c>
      <c r="DF36" s="635"/>
      <c r="DG36" s="811"/>
      <c r="DH36" s="629"/>
      <c r="DI36" s="629"/>
      <c r="DJ36" s="630" t="s">
        <v>382</v>
      </c>
      <c r="DK36" s="629"/>
      <c r="DL36" s="629"/>
      <c r="DM36" s="1275"/>
      <c r="DN36" s="1276">
        <v>0</v>
      </c>
      <c r="DO36" s="1277"/>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79">
        <v>0</v>
      </c>
      <c r="FI36" s="636"/>
      <c r="FJ36" s="820"/>
      <c r="FK36" s="629"/>
      <c r="FL36" s="629"/>
      <c r="FM36" s="630" t="s">
        <v>382</v>
      </c>
      <c r="FN36" s="629"/>
      <c r="FO36" s="629"/>
      <c r="FP36" s="1267"/>
      <c r="FQ36" s="1277"/>
      <c r="FR36" s="1276">
        <v>0</v>
      </c>
      <c r="FS36" s="1280"/>
      <c r="FT36" s="1277"/>
      <c r="FU36" s="128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7.05</v>
      </c>
      <c r="HB38" s="854">
        <v>5.7</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1.24</v>
      </c>
      <c r="HB39" s="566"/>
      <c r="HC39" s="517"/>
      <c r="HD39" s="549"/>
    </row>
    <row r="40" spans="1:219" ht="20.100000000000001" customHeight="1">
      <c r="A40" s="868"/>
      <c r="B40" s="629"/>
      <c r="C40" s="629"/>
      <c r="D40" s="630" t="s">
        <v>393</v>
      </c>
      <c r="E40" s="629"/>
      <c r="F40" s="629"/>
      <c r="G40" s="1275"/>
      <c r="H40" s="1276">
        <v>0</v>
      </c>
      <c r="I40" s="1277"/>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79">
        <v>0</v>
      </c>
      <c r="BC40" s="635"/>
      <c r="BD40" s="868"/>
      <c r="BE40" s="629"/>
      <c r="BF40" s="629"/>
      <c r="BG40" s="630" t="s">
        <v>393</v>
      </c>
      <c r="BH40" s="629"/>
      <c r="BI40" s="629"/>
      <c r="BJ40" s="1275"/>
      <c r="BK40" s="1276">
        <v>0</v>
      </c>
      <c r="BL40" s="1277"/>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79">
        <v>0</v>
      </c>
      <c r="DF40" s="635"/>
      <c r="DG40" s="868"/>
      <c r="DH40" s="629"/>
      <c r="DI40" s="629"/>
      <c r="DJ40" s="630" t="s">
        <v>393</v>
      </c>
      <c r="DK40" s="629"/>
      <c r="DL40" s="629"/>
      <c r="DM40" s="1275"/>
      <c r="DN40" s="1276">
        <v>0</v>
      </c>
      <c r="DO40" s="1277"/>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79">
        <v>0</v>
      </c>
      <c r="FI40" s="636"/>
      <c r="FJ40" s="820"/>
      <c r="FK40" s="629"/>
      <c r="FL40" s="629"/>
      <c r="FM40" s="630" t="s">
        <v>393</v>
      </c>
      <c r="FN40" s="629"/>
      <c r="FO40" s="629"/>
      <c r="FP40" s="1267"/>
      <c r="FQ40" s="1277"/>
      <c r="FR40" s="1276">
        <v>0</v>
      </c>
      <c r="FS40" s="1280"/>
      <c r="FT40" s="1277"/>
      <c r="FU40" s="128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519</v>
      </c>
      <c r="GV40" s="517"/>
      <c r="GW40" s="517"/>
      <c r="GX40" s="517"/>
      <c r="GY40" s="517"/>
      <c r="GZ40" s="517"/>
      <c r="HA40" s="873">
        <v>28.7</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552</v>
      </c>
      <c r="GV41" s="517"/>
      <c r="GW41" s="517"/>
      <c r="GX41" s="517"/>
      <c r="GY41" s="517"/>
      <c r="GZ41" s="517"/>
      <c r="HA41" s="873">
        <v>24.9</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40</v>
      </c>
      <c r="Y42" s="818"/>
      <c r="Z42" s="782">
        <v>24</v>
      </c>
      <c r="AA42" s="818"/>
      <c r="AB42" s="782">
        <v>22</v>
      </c>
      <c r="AC42" s="818"/>
      <c r="AD42" s="782">
        <v>21</v>
      </c>
      <c r="AE42" s="818"/>
      <c r="AF42" s="782">
        <v>19</v>
      </c>
      <c r="AG42" s="818"/>
      <c r="AH42" s="782">
        <v>17</v>
      </c>
      <c r="AI42" s="818"/>
      <c r="AJ42" s="782">
        <v>16</v>
      </c>
      <c r="AK42" s="818"/>
      <c r="AL42" s="782">
        <v>15</v>
      </c>
      <c r="AM42" s="818"/>
      <c r="AN42" s="782">
        <v>13</v>
      </c>
      <c r="AO42" s="818"/>
      <c r="AP42" s="782">
        <v>13</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40</v>
      </c>
      <c r="CB42" s="818"/>
      <c r="CC42" s="782">
        <v>24</v>
      </c>
      <c r="CD42" s="818"/>
      <c r="CE42" s="782">
        <v>22</v>
      </c>
      <c r="CF42" s="818"/>
      <c r="CG42" s="782">
        <v>21</v>
      </c>
      <c r="CH42" s="818"/>
      <c r="CI42" s="782">
        <v>19</v>
      </c>
      <c r="CJ42" s="818"/>
      <c r="CK42" s="782">
        <v>17</v>
      </c>
      <c r="CL42" s="818"/>
      <c r="CM42" s="782">
        <v>16</v>
      </c>
      <c r="CN42" s="818"/>
      <c r="CO42" s="782">
        <v>15</v>
      </c>
      <c r="CP42" s="818"/>
      <c r="CQ42" s="782">
        <v>13</v>
      </c>
      <c r="CR42" s="818"/>
      <c r="CS42" s="782">
        <v>13</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40</v>
      </c>
      <c r="EE42" s="818"/>
      <c r="EF42" s="782">
        <v>24</v>
      </c>
      <c r="EG42" s="818"/>
      <c r="EH42" s="782">
        <v>22</v>
      </c>
      <c r="EI42" s="818"/>
      <c r="EJ42" s="782">
        <v>21</v>
      </c>
      <c r="EK42" s="818"/>
      <c r="EL42" s="782">
        <v>19</v>
      </c>
      <c r="EM42" s="818"/>
      <c r="EN42" s="782">
        <v>17</v>
      </c>
      <c r="EO42" s="818"/>
      <c r="EP42" s="782">
        <v>16</v>
      </c>
      <c r="EQ42" s="818"/>
      <c r="ER42" s="782">
        <v>15</v>
      </c>
      <c r="ES42" s="818"/>
      <c r="ET42" s="782">
        <v>13</v>
      </c>
      <c r="EU42" s="818"/>
      <c r="EV42" s="782">
        <v>13</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25</v>
      </c>
      <c r="FS42" s="822"/>
      <c r="FT42" s="817"/>
      <c r="FU42" s="788">
        <v>25</v>
      </c>
      <c r="FV42" s="580"/>
      <c r="FW42" s="581"/>
      <c r="FX42" s="789"/>
      <c r="FY42" s="583"/>
      <c r="FZ42" s="790"/>
      <c r="GA42" s="585"/>
      <c r="GB42" s="791"/>
      <c r="GC42" s="587"/>
      <c r="GD42" s="791"/>
      <c r="GE42" s="588"/>
      <c r="GF42" s="823"/>
      <c r="GG42" s="589"/>
      <c r="GH42" s="589"/>
      <c r="GI42" s="589"/>
      <c r="GJ42" s="400"/>
      <c r="GK42" s="887"/>
      <c r="GL42" s="888"/>
      <c r="GM42" s="889">
        <v>7</v>
      </c>
      <c r="GN42" s="889"/>
      <c r="GO42" s="889">
        <v>0</v>
      </c>
      <c r="GP42" s="889"/>
      <c r="GQ42" s="889">
        <v>7</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76">
        <v>0</v>
      </c>
      <c r="I44" s="1277"/>
      <c r="J44" s="827">
        <v>0</v>
      </c>
      <c r="K44" s="1278"/>
      <c r="L44" s="827">
        <v>0</v>
      </c>
      <c r="M44" s="1278"/>
      <c r="N44" s="827">
        <v>0</v>
      </c>
      <c r="O44" s="1278"/>
      <c r="P44" s="827">
        <v>0</v>
      </c>
      <c r="Q44" s="1278"/>
      <c r="R44" s="827">
        <v>0</v>
      </c>
      <c r="S44" s="1278"/>
      <c r="T44" s="827">
        <v>0</v>
      </c>
      <c r="U44" s="1278"/>
      <c r="V44" s="827">
        <v>0</v>
      </c>
      <c r="W44" s="1278"/>
      <c r="X44" s="827">
        <v>40</v>
      </c>
      <c r="Y44" s="1278"/>
      <c r="Z44" s="827">
        <v>24</v>
      </c>
      <c r="AA44" s="1278"/>
      <c r="AB44" s="827">
        <v>22</v>
      </c>
      <c r="AC44" s="1278"/>
      <c r="AD44" s="827">
        <v>21</v>
      </c>
      <c r="AE44" s="1278"/>
      <c r="AF44" s="827">
        <v>19</v>
      </c>
      <c r="AG44" s="1278"/>
      <c r="AH44" s="827">
        <v>17</v>
      </c>
      <c r="AI44" s="1278"/>
      <c r="AJ44" s="827">
        <v>16</v>
      </c>
      <c r="AK44" s="1278"/>
      <c r="AL44" s="827">
        <v>15</v>
      </c>
      <c r="AM44" s="1278"/>
      <c r="AN44" s="827">
        <v>13</v>
      </c>
      <c r="AO44" s="1278"/>
      <c r="AP44" s="827">
        <v>13</v>
      </c>
      <c r="AQ44" s="1278"/>
      <c r="AR44" s="827">
        <v>0</v>
      </c>
      <c r="AS44" s="1278"/>
      <c r="AT44" s="827">
        <v>0</v>
      </c>
      <c r="AU44" s="1278"/>
      <c r="AV44" s="827">
        <v>0</v>
      </c>
      <c r="AW44" s="1278"/>
      <c r="AX44" s="827">
        <v>0</v>
      </c>
      <c r="AY44" s="1278"/>
      <c r="AZ44" s="827">
        <v>0</v>
      </c>
      <c r="BA44" s="1278"/>
      <c r="BB44" s="1279">
        <v>0</v>
      </c>
      <c r="BC44" s="635"/>
      <c r="BD44" s="912"/>
      <c r="BE44" s="629"/>
      <c r="BF44" s="629"/>
      <c r="BG44" s="630" t="s">
        <v>397</v>
      </c>
      <c r="BH44" s="629"/>
      <c r="BI44" s="629"/>
      <c r="BJ44" s="1275"/>
      <c r="BK44" s="1276">
        <v>0</v>
      </c>
      <c r="BL44" s="1277"/>
      <c r="BM44" s="827">
        <v>0</v>
      </c>
      <c r="BN44" s="1278"/>
      <c r="BO44" s="827">
        <v>0</v>
      </c>
      <c r="BP44" s="1278"/>
      <c r="BQ44" s="827">
        <v>0</v>
      </c>
      <c r="BR44" s="1278"/>
      <c r="BS44" s="827">
        <v>0</v>
      </c>
      <c r="BT44" s="1278"/>
      <c r="BU44" s="827">
        <v>0</v>
      </c>
      <c r="BV44" s="1278"/>
      <c r="BW44" s="827">
        <v>0</v>
      </c>
      <c r="BX44" s="1278"/>
      <c r="BY44" s="827">
        <v>0</v>
      </c>
      <c r="BZ44" s="1278"/>
      <c r="CA44" s="827">
        <v>40</v>
      </c>
      <c r="CB44" s="1278"/>
      <c r="CC44" s="827">
        <v>24</v>
      </c>
      <c r="CD44" s="1278"/>
      <c r="CE44" s="827">
        <v>22</v>
      </c>
      <c r="CF44" s="1278"/>
      <c r="CG44" s="827">
        <v>21</v>
      </c>
      <c r="CH44" s="1278"/>
      <c r="CI44" s="827">
        <v>19</v>
      </c>
      <c r="CJ44" s="1278"/>
      <c r="CK44" s="827">
        <v>17</v>
      </c>
      <c r="CL44" s="1278"/>
      <c r="CM44" s="827">
        <v>16</v>
      </c>
      <c r="CN44" s="1278"/>
      <c r="CO44" s="827">
        <v>15</v>
      </c>
      <c r="CP44" s="1278"/>
      <c r="CQ44" s="827">
        <v>13</v>
      </c>
      <c r="CR44" s="1278"/>
      <c r="CS44" s="827">
        <v>13</v>
      </c>
      <c r="CT44" s="1278"/>
      <c r="CU44" s="827">
        <v>0</v>
      </c>
      <c r="CV44" s="1278"/>
      <c r="CW44" s="827">
        <v>0</v>
      </c>
      <c r="CX44" s="1278"/>
      <c r="CY44" s="827">
        <v>0</v>
      </c>
      <c r="CZ44" s="1278"/>
      <c r="DA44" s="827">
        <v>0</v>
      </c>
      <c r="DB44" s="1278"/>
      <c r="DC44" s="827">
        <v>0</v>
      </c>
      <c r="DD44" s="1278"/>
      <c r="DE44" s="1279">
        <v>0</v>
      </c>
      <c r="DF44" s="635"/>
      <c r="DG44" s="912"/>
      <c r="DH44" s="629"/>
      <c r="DI44" s="629"/>
      <c r="DJ44" s="630" t="s">
        <v>397</v>
      </c>
      <c r="DK44" s="629"/>
      <c r="DL44" s="629"/>
      <c r="DM44" s="1275"/>
      <c r="DN44" s="1276">
        <v>0</v>
      </c>
      <c r="DO44" s="1277"/>
      <c r="DP44" s="827">
        <v>0</v>
      </c>
      <c r="DQ44" s="1278"/>
      <c r="DR44" s="827">
        <v>0</v>
      </c>
      <c r="DS44" s="1278"/>
      <c r="DT44" s="827">
        <v>0</v>
      </c>
      <c r="DU44" s="1278"/>
      <c r="DV44" s="827">
        <v>0</v>
      </c>
      <c r="DW44" s="1278"/>
      <c r="DX44" s="827">
        <v>0</v>
      </c>
      <c r="DY44" s="1278"/>
      <c r="DZ44" s="827">
        <v>0</v>
      </c>
      <c r="EA44" s="1278"/>
      <c r="EB44" s="827">
        <v>0</v>
      </c>
      <c r="EC44" s="1278"/>
      <c r="ED44" s="827">
        <v>40</v>
      </c>
      <c r="EE44" s="1278"/>
      <c r="EF44" s="827">
        <v>24</v>
      </c>
      <c r="EG44" s="1278"/>
      <c r="EH44" s="827">
        <v>22</v>
      </c>
      <c r="EI44" s="1278"/>
      <c r="EJ44" s="827">
        <v>21</v>
      </c>
      <c r="EK44" s="1278"/>
      <c r="EL44" s="827">
        <v>19</v>
      </c>
      <c r="EM44" s="1278"/>
      <c r="EN44" s="827">
        <v>17</v>
      </c>
      <c r="EO44" s="1278"/>
      <c r="EP44" s="827">
        <v>16</v>
      </c>
      <c r="EQ44" s="1278"/>
      <c r="ER44" s="827">
        <v>15</v>
      </c>
      <c r="ES44" s="1278"/>
      <c r="ET44" s="827">
        <v>13</v>
      </c>
      <c r="EU44" s="1278"/>
      <c r="EV44" s="827">
        <v>13</v>
      </c>
      <c r="EW44" s="1278"/>
      <c r="EX44" s="827">
        <v>0</v>
      </c>
      <c r="EY44" s="1278"/>
      <c r="EZ44" s="827">
        <v>0</v>
      </c>
      <c r="FA44" s="1278"/>
      <c r="FB44" s="827">
        <v>0</v>
      </c>
      <c r="FC44" s="1278"/>
      <c r="FD44" s="827">
        <v>0</v>
      </c>
      <c r="FE44" s="1278"/>
      <c r="FF44" s="827">
        <v>0</v>
      </c>
      <c r="FG44" s="1278"/>
      <c r="FH44" s="1279">
        <v>0</v>
      </c>
      <c r="FI44" s="636"/>
      <c r="FJ44" s="913"/>
      <c r="FK44" s="629"/>
      <c r="FL44" s="629"/>
      <c r="FM44" s="630" t="s">
        <v>397</v>
      </c>
      <c r="FN44" s="629"/>
      <c r="FO44" s="629"/>
      <c r="FP44" s="1267"/>
      <c r="FQ44" s="1277"/>
      <c r="FR44" s="1276">
        <v>25</v>
      </c>
      <c r="FS44" s="1280"/>
      <c r="FT44" s="1277"/>
      <c r="FU44" s="1281">
        <v>25</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4.5999999999999996</v>
      </c>
      <c r="GN44" s="914"/>
      <c r="GO44" s="914">
        <v>0</v>
      </c>
      <c r="GP44" s="914"/>
      <c r="GQ44" s="889">
        <v>4.5999999999999996</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74</v>
      </c>
      <c r="Y45" s="923"/>
      <c r="Z45" s="922">
        <v>66</v>
      </c>
      <c r="AA45" s="923"/>
      <c r="AB45" s="922">
        <v>71</v>
      </c>
      <c r="AC45" s="923"/>
      <c r="AD45" s="922">
        <v>72</v>
      </c>
      <c r="AE45" s="923"/>
      <c r="AF45" s="922">
        <v>72</v>
      </c>
      <c r="AG45" s="923"/>
      <c r="AH45" s="922">
        <v>70</v>
      </c>
      <c r="AI45" s="923"/>
      <c r="AJ45" s="922">
        <v>65</v>
      </c>
      <c r="AK45" s="923"/>
      <c r="AL45" s="922">
        <v>61</v>
      </c>
      <c r="AM45" s="923"/>
      <c r="AN45" s="922">
        <v>52</v>
      </c>
      <c r="AO45" s="923"/>
      <c r="AP45" s="922">
        <v>47</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72</v>
      </c>
      <c r="CB45" s="923"/>
      <c r="CC45" s="922">
        <v>63</v>
      </c>
      <c r="CD45" s="923"/>
      <c r="CE45" s="922">
        <v>68</v>
      </c>
      <c r="CF45" s="923"/>
      <c r="CG45" s="922">
        <v>70</v>
      </c>
      <c r="CH45" s="923"/>
      <c r="CI45" s="922">
        <v>70</v>
      </c>
      <c r="CJ45" s="923"/>
      <c r="CK45" s="922">
        <v>66</v>
      </c>
      <c r="CL45" s="923"/>
      <c r="CM45" s="922">
        <v>62</v>
      </c>
      <c r="CN45" s="923"/>
      <c r="CO45" s="922">
        <v>57</v>
      </c>
      <c r="CP45" s="923"/>
      <c r="CQ45" s="922">
        <v>52</v>
      </c>
      <c r="CR45" s="923"/>
      <c r="CS45" s="922">
        <v>45</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56</v>
      </c>
      <c r="EE45" s="923"/>
      <c r="EF45" s="922">
        <v>49</v>
      </c>
      <c r="EG45" s="923"/>
      <c r="EH45" s="922">
        <v>54</v>
      </c>
      <c r="EI45" s="923"/>
      <c r="EJ45" s="922">
        <v>58</v>
      </c>
      <c r="EK45" s="923"/>
      <c r="EL45" s="922">
        <v>56</v>
      </c>
      <c r="EM45" s="923"/>
      <c r="EN45" s="922">
        <v>51</v>
      </c>
      <c r="EO45" s="923"/>
      <c r="EP45" s="922">
        <v>48</v>
      </c>
      <c r="EQ45" s="923"/>
      <c r="ER45" s="922">
        <v>45</v>
      </c>
      <c r="ES45" s="923"/>
      <c r="ET45" s="922">
        <v>36</v>
      </c>
      <c r="EU45" s="923"/>
      <c r="EV45" s="922">
        <v>29</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145</v>
      </c>
      <c r="FS45" s="927"/>
      <c r="FT45" s="926"/>
      <c r="FU45" s="928">
        <v>147</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515</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515</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516</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78</v>
      </c>
      <c r="Y47" s="955"/>
      <c r="Z47" s="954">
        <v>69</v>
      </c>
      <c r="AA47" s="955"/>
      <c r="AB47" s="954">
        <v>75</v>
      </c>
      <c r="AC47" s="955"/>
      <c r="AD47" s="954">
        <v>76</v>
      </c>
      <c r="AE47" s="955"/>
      <c r="AF47" s="954">
        <v>76</v>
      </c>
      <c r="AG47" s="955"/>
      <c r="AH47" s="954">
        <v>74</v>
      </c>
      <c r="AI47" s="955"/>
      <c r="AJ47" s="954">
        <v>68</v>
      </c>
      <c r="AK47" s="955"/>
      <c r="AL47" s="954">
        <v>64</v>
      </c>
      <c r="AM47" s="955"/>
      <c r="AN47" s="954">
        <v>55</v>
      </c>
      <c r="AO47" s="955"/>
      <c r="AP47" s="954">
        <v>49</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76</v>
      </c>
      <c r="CB47" s="955"/>
      <c r="CC47" s="954">
        <v>66</v>
      </c>
      <c r="CD47" s="955"/>
      <c r="CE47" s="954">
        <v>71</v>
      </c>
      <c r="CF47" s="955"/>
      <c r="CG47" s="954">
        <v>74</v>
      </c>
      <c r="CH47" s="955"/>
      <c r="CI47" s="954">
        <v>74</v>
      </c>
      <c r="CJ47" s="955"/>
      <c r="CK47" s="954">
        <v>69</v>
      </c>
      <c r="CL47" s="955"/>
      <c r="CM47" s="954">
        <v>65</v>
      </c>
      <c r="CN47" s="955"/>
      <c r="CO47" s="954">
        <v>60</v>
      </c>
      <c r="CP47" s="955"/>
      <c r="CQ47" s="954">
        <v>55</v>
      </c>
      <c r="CR47" s="955"/>
      <c r="CS47" s="954">
        <v>47</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59</v>
      </c>
      <c r="EE47" s="955"/>
      <c r="EF47" s="954">
        <v>51</v>
      </c>
      <c r="EG47" s="955"/>
      <c r="EH47" s="954">
        <v>57</v>
      </c>
      <c r="EI47" s="955"/>
      <c r="EJ47" s="954">
        <v>61</v>
      </c>
      <c r="EK47" s="955"/>
      <c r="EL47" s="954">
        <v>59</v>
      </c>
      <c r="EM47" s="955"/>
      <c r="EN47" s="954">
        <v>54</v>
      </c>
      <c r="EO47" s="955"/>
      <c r="EP47" s="954">
        <v>50</v>
      </c>
      <c r="EQ47" s="955"/>
      <c r="ER47" s="954">
        <v>47</v>
      </c>
      <c r="ES47" s="955"/>
      <c r="ET47" s="954">
        <v>38</v>
      </c>
      <c r="EU47" s="955"/>
      <c r="EV47" s="954">
        <v>30</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145</v>
      </c>
      <c r="FS47" s="963"/>
      <c r="FT47" s="962"/>
      <c r="FU47" s="964">
        <v>147</v>
      </c>
      <c r="FV47" s="965">
        <v>9</v>
      </c>
      <c r="FW47" s="954">
        <v>78</v>
      </c>
      <c r="FX47" s="966">
        <v>9</v>
      </c>
      <c r="FY47" s="954">
        <v>76</v>
      </c>
      <c r="FZ47" s="966">
        <v>12</v>
      </c>
      <c r="GA47" s="954">
        <v>61</v>
      </c>
      <c r="GB47" s="967" t="s">
        <v>542</v>
      </c>
      <c r="GC47" s="954">
        <v>78</v>
      </c>
      <c r="GD47" s="967" t="s">
        <v>332</v>
      </c>
      <c r="GE47" s="968">
        <v>147</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c r="E49" s="738">
        <v>0</v>
      </c>
      <c r="F49" s="982"/>
      <c r="G49" s="740"/>
      <c r="H49" s="546"/>
      <c r="I49" s="741"/>
      <c r="J49" s="546"/>
      <c r="K49" s="741"/>
      <c r="L49" s="546"/>
      <c r="M49" s="741"/>
      <c r="N49" s="546"/>
      <c r="O49" s="741"/>
      <c r="P49" s="546"/>
      <c r="Q49" s="741"/>
      <c r="R49" s="546"/>
      <c r="S49" s="741"/>
      <c r="T49" s="546"/>
      <c r="U49" s="741"/>
      <c r="V49" s="546"/>
      <c r="W49" s="741"/>
      <c r="X49" s="546">
        <v>0</v>
      </c>
      <c r="Y49" s="741"/>
      <c r="Z49" s="546">
        <v>0</v>
      </c>
      <c r="AA49" s="741"/>
      <c r="AB49" s="546">
        <v>0</v>
      </c>
      <c r="AC49" s="741"/>
      <c r="AD49" s="546">
        <v>0</v>
      </c>
      <c r="AE49" s="741"/>
      <c r="AF49" s="546">
        <v>0</v>
      </c>
      <c r="AG49" s="741"/>
      <c r="AH49" s="546">
        <v>0</v>
      </c>
      <c r="AI49" s="741"/>
      <c r="AJ49" s="546">
        <v>0</v>
      </c>
      <c r="AK49" s="741"/>
      <c r="AL49" s="546">
        <v>0</v>
      </c>
      <c r="AM49" s="741"/>
      <c r="AN49" s="546">
        <v>0</v>
      </c>
      <c r="AO49" s="741"/>
      <c r="AP49" s="546">
        <v>0</v>
      </c>
      <c r="AQ49" s="741"/>
      <c r="AR49" s="546"/>
      <c r="AS49" s="741"/>
      <c r="AT49" s="546"/>
      <c r="AU49" s="741"/>
      <c r="AV49" s="546"/>
      <c r="AW49" s="741"/>
      <c r="AX49" s="546"/>
      <c r="AY49" s="983"/>
      <c r="AZ49" s="984"/>
      <c r="BA49" s="985"/>
      <c r="BB49" s="986"/>
      <c r="BC49" s="917"/>
      <c r="BD49" s="980"/>
      <c r="BE49" s="735" t="s">
        <v>372</v>
      </c>
      <c r="BF49" s="981"/>
      <c r="BG49" s="737"/>
      <c r="BH49" s="738">
        <v>0</v>
      </c>
      <c r="BI49" s="982"/>
      <c r="BJ49" s="740"/>
      <c r="BK49" s="546"/>
      <c r="BL49" s="741"/>
      <c r="BM49" s="546"/>
      <c r="BN49" s="741"/>
      <c r="BO49" s="546"/>
      <c r="BP49" s="741"/>
      <c r="BQ49" s="546"/>
      <c r="BR49" s="741"/>
      <c r="BS49" s="546"/>
      <c r="BT49" s="741"/>
      <c r="BU49" s="546"/>
      <c r="BV49" s="741"/>
      <c r="BW49" s="546"/>
      <c r="BX49" s="741"/>
      <c r="BY49" s="546"/>
      <c r="BZ49" s="741"/>
      <c r="CA49" s="546">
        <v>0</v>
      </c>
      <c r="CB49" s="741"/>
      <c r="CC49" s="546">
        <v>0</v>
      </c>
      <c r="CD49" s="741"/>
      <c r="CE49" s="546">
        <v>0</v>
      </c>
      <c r="CF49" s="741"/>
      <c r="CG49" s="546">
        <v>0</v>
      </c>
      <c r="CH49" s="741"/>
      <c r="CI49" s="546">
        <v>0</v>
      </c>
      <c r="CJ49" s="741"/>
      <c r="CK49" s="546">
        <v>0</v>
      </c>
      <c r="CL49" s="741"/>
      <c r="CM49" s="546">
        <v>0</v>
      </c>
      <c r="CN49" s="741"/>
      <c r="CO49" s="546">
        <v>0</v>
      </c>
      <c r="CP49" s="741"/>
      <c r="CQ49" s="546">
        <v>0</v>
      </c>
      <c r="CR49" s="741"/>
      <c r="CS49" s="546">
        <v>0</v>
      </c>
      <c r="CT49" s="741"/>
      <c r="CU49" s="546"/>
      <c r="CV49" s="741"/>
      <c r="CW49" s="546"/>
      <c r="CX49" s="741"/>
      <c r="CY49" s="546"/>
      <c r="CZ49" s="741"/>
      <c r="DA49" s="546"/>
      <c r="DB49" s="983"/>
      <c r="DC49" s="984"/>
      <c r="DD49" s="985"/>
      <c r="DE49" s="986"/>
      <c r="DF49" s="917"/>
      <c r="DG49" s="980"/>
      <c r="DH49" s="735" t="s">
        <v>372</v>
      </c>
      <c r="DI49" s="981"/>
      <c r="DJ49" s="737"/>
      <c r="DK49" s="738">
        <v>0</v>
      </c>
      <c r="DL49" s="982"/>
      <c r="DM49" s="740"/>
      <c r="DN49" s="546"/>
      <c r="DO49" s="741"/>
      <c r="DP49" s="546"/>
      <c r="DQ49" s="741"/>
      <c r="DR49" s="546"/>
      <c r="DS49" s="741"/>
      <c r="DT49" s="546"/>
      <c r="DU49" s="741"/>
      <c r="DV49" s="546"/>
      <c r="DW49" s="741"/>
      <c r="DX49" s="546"/>
      <c r="DY49" s="741"/>
      <c r="DZ49" s="546"/>
      <c r="EA49" s="741"/>
      <c r="EB49" s="546"/>
      <c r="EC49" s="741"/>
      <c r="ED49" s="546">
        <v>0</v>
      </c>
      <c r="EE49" s="741"/>
      <c r="EF49" s="546">
        <v>0</v>
      </c>
      <c r="EG49" s="741"/>
      <c r="EH49" s="546">
        <v>0</v>
      </c>
      <c r="EI49" s="741"/>
      <c r="EJ49" s="546">
        <v>0</v>
      </c>
      <c r="EK49" s="741"/>
      <c r="EL49" s="546">
        <v>0</v>
      </c>
      <c r="EM49" s="741"/>
      <c r="EN49" s="546">
        <v>0</v>
      </c>
      <c r="EO49" s="741"/>
      <c r="EP49" s="546">
        <v>0</v>
      </c>
      <c r="EQ49" s="741"/>
      <c r="ER49" s="546">
        <v>0</v>
      </c>
      <c r="ES49" s="741"/>
      <c r="ET49" s="546">
        <v>0</v>
      </c>
      <c r="EU49" s="741"/>
      <c r="EV49" s="546">
        <v>0</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551</v>
      </c>
      <c r="GV50" s="567"/>
      <c r="GW50" s="567"/>
      <c r="GX50" s="567"/>
      <c r="GY50" s="602"/>
      <c r="GZ50" s="566"/>
      <c r="HA50" s="602">
        <v>4.4000000000000004</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4.4000000000000004</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0</v>
      </c>
      <c r="Y52" s="1038"/>
      <c r="Z52" s="1037">
        <v>0</v>
      </c>
      <c r="AA52" s="1038"/>
      <c r="AB52" s="1037">
        <v>0</v>
      </c>
      <c r="AC52" s="1038"/>
      <c r="AD52" s="1037">
        <v>0</v>
      </c>
      <c r="AE52" s="1038"/>
      <c r="AF52" s="1037">
        <v>0</v>
      </c>
      <c r="AG52" s="1038"/>
      <c r="AH52" s="1037">
        <v>0</v>
      </c>
      <c r="AI52" s="1038"/>
      <c r="AJ52" s="1037">
        <v>0</v>
      </c>
      <c r="AK52" s="1038"/>
      <c r="AL52" s="1037">
        <v>0</v>
      </c>
      <c r="AM52" s="1038"/>
      <c r="AN52" s="1037">
        <v>0</v>
      </c>
      <c r="AO52" s="1038"/>
      <c r="AP52" s="1037">
        <v>0</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0</v>
      </c>
      <c r="CB52" s="1038"/>
      <c r="CC52" s="1037">
        <v>0</v>
      </c>
      <c r="CD52" s="1038"/>
      <c r="CE52" s="1037">
        <v>0</v>
      </c>
      <c r="CF52" s="1038"/>
      <c r="CG52" s="1037">
        <v>0</v>
      </c>
      <c r="CH52" s="1038"/>
      <c r="CI52" s="1037">
        <v>0</v>
      </c>
      <c r="CJ52" s="1038"/>
      <c r="CK52" s="1037">
        <v>0</v>
      </c>
      <c r="CL52" s="1038"/>
      <c r="CM52" s="1037">
        <v>0</v>
      </c>
      <c r="CN52" s="1038"/>
      <c r="CO52" s="1037">
        <v>0</v>
      </c>
      <c r="CP52" s="1038"/>
      <c r="CQ52" s="1037">
        <v>0</v>
      </c>
      <c r="CR52" s="1038"/>
      <c r="CS52" s="1037">
        <v>0</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0</v>
      </c>
      <c r="EE52" s="1038"/>
      <c r="EF52" s="1037">
        <v>0</v>
      </c>
      <c r="EG52" s="1038"/>
      <c r="EH52" s="1037">
        <v>0</v>
      </c>
      <c r="EI52" s="1038"/>
      <c r="EJ52" s="1037">
        <v>0</v>
      </c>
      <c r="EK52" s="1038"/>
      <c r="EL52" s="1037">
        <v>0</v>
      </c>
      <c r="EM52" s="1038"/>
      <c r="EN52" s="1037">
        <v>0</v>
      </c>
      <c r="EO52" s="1038"/>
      <c r="EP52" s="1037">
        <v>0</v>
      </c>
      <c r="EQ52" s="1038"/>
      <c r="ER52" s="1037">
        <v>0</v>
      </c>
      <c r="ES52" s="1038"/>
      <c r="ET52" s="1037">
        <v>0</v>
      </c>
      <c r="EU52" s="1038"/>
      <c r="EV52" s="1037">
        <v>0</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9</v>
      </c>
      <c r="FW52" s="1048">
        <v>0</v>
      </c>
      <c r="FX52" s="1049">
        <v>9</v>
      </c>
      <c r="FY52" s="1048">
        <v>0</v>
      </c>
      <c r="FZ52" s="1049">
        <v>12</v>
      </c>
      <c r="GA52" s="1048">
        <v>0</v>
      </c>
      <c r="GB52" s="1050" t="s">
        <v>542</v>
      </c>
      <c r="GC52" s="1051">
        <v>0</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78</v>
      </c>
      <c r="Y53" s="1065"/>
      <c r="Z53" s="1064">
        <v>69</v>
      </c>
      <c r="AA53" s="1065"/>
      <c r="AB53" s="1064">
        <v>75</v>
      </c>
      <c r="AC53" s="1065"/>
      <c r="AD53" s="1064">
        <v>76</v>
      </c>
      <c r="AE53" s="1065"/>
      <c r="AF53" s="1064">
        <v>76</v>
      </c>
      <c r="AG53" s="1065"/>
      <c r="AH53" s="1064">
        <v>74</v>
      </c>
      <c r="AI53" s="1065"/>
      <c r="AJ53" s="1064">
        <v>68</v>
      </c>
      <c r="AK53" s="1065"/>
      <c r="AL53" s="1064">
        <v>64</v>
      </c>
      <c r="AM53" s="1065"/>
      <c r="AN53" s="1064">
        <v>55</v>
      </c>
      <c r="AO53" s="1065"/>
      <c r="AP53" s="1064">
        <v>49</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76</v>
      </c>
      <c r="CB53" s="1065"/>
      <c r="CC53" s="1064">
        <v>66</v>
      </c>
      <c r="CD53" s="1065"/>
      <c r="CE53" s="1064">
        <v>71</v>
      </c>
      <c r="CF53" s="1065"/>
      <c r="CG53" s="1064">
        <v>74</v>
      </c>
      <c r="CH53" s="1065"/>
      <c r="CI53" s="1064">
        <v>74</v>
      </c>
      <c r="CJ53" s="1065"/>
      <c r="CK53" s="1064">
        <v>69</v>
      </c>
      <c r="CL53" s="1065"/>
      <c r="CM53" s="1064">
        <v>65</v>
      </c>
      <c r="CN53" s="1065"/>
      <c r="CO53" s="1064">
        <v>60</v>
      </c>
      <c r="CP53" s="1065"/>
      <c r="CQ53" s="1064">
        <v>55</v>
      </c>
      <c r="CR53" s="1065"/>
      <c r="CS53" s="1064">
        <v>47</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59</v>
      </c>
      <c r="EE53" s="1065"/>
      <c r="EF53" s="1064">
        <v>51</v>
      </c>
      <c r="EG53" s="1065"/>
      <c r="EH53" s="1064">
        <v>57</v>
      </c>
      <c r="EI53" s="1065"/>
      <c r="EJ53" s="1064">
        <v>61</v>
      </c>
      <c r="EK53" s="1065"/>
      <c r="EL53" s="1064">
        <v>59</v>
      </c>
      <c r="EM53" s="1065"/>
      <c r="EN53" s="1064">
        <v>54</v>
      </c>
      <c r="EO53" s="1065"/>
      <c r="EP53" s="1064">
        <v>50</v>
      </c>
      <c r="EQ53" s="1065"/>
      <c r="ER53" s="1064">
        <v>47</v>
      </c>
      <c r="ES53" s="1065"/>
      <c r="ET53" s="1064">
        <v>38</v>
      </c>
      <c r="EU53" s="1065"/>
      <c r="EV53" s="1064">
        <v>30</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145</v>
      </c>
      <c r="FS53" s="1072"/>
      <c r="FT53" s="1071"/>
      <c r="FU53" s="1073">
        <v>147</v>
      </c>
      <c r="FV53" s="1074">
        <v>9</v>
      </c>
      <c r="FW53" s="1075">
        <v>78</v>
      </c>
      <c r="FX53" s="1076">
        <v>9</v>
      </c>
      <c r="FY53" s="1075">
        <v>76</v>
      </c>
      <c r="FZ53" s="1076">
        <v>12</v>
      </c>
      <c r="GA53" s="1075">
        <v>61</v>
      </c>
      <c r="GB53" s="1077" t="s">
        <v>542</v>
      </c>
      <c r="GC53" s="1075">
        <v>78</v>
      </c>
      <c r="GD53" s="1077" t="s">
        <v>332</v>
      </c>
      <c r="GE53" s="1078">
        <v>147</v>
      </c>
      <c r="GF53" s="671"/>
      <c r="GG53" s="969"/>
      <c r="GH53" s="969"/>
      <c r="GI53" s="969"/>
      <c r="GJ53" s="932"/>
      <c r="GK53" s="404"/>
      <c r="GL53" s="1079">
        <v>10</v>
      </c>
      <c r="GM53" s="1080">
        <v>1</v>
      </c>
      <c r="GN53" s="1081">
        <v>0.92</v>
      </c>
      <c r="GO53" s="1082">
        <v>4.2</v>
      </c>
      <c r="GP53" s="1082">
        <v>0</v>
      </c>
      <c r="GQ53" s="1083">
        <v>4.2</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13.7</v>
      </c>
      <c r="Y54" s="1092"/>
      <c r="Z54" s="1091">
        <v>12.1</v>
      </c>
      <c r="AA54" s="1092"/>
      <c r="AB54" s="1091">
        <v>13.2</v>
      </c>
      <c r="AC54" s="1092"/>
      <c r="AD54" s="1091">
        <v>13.3</v>
      </c>
      <c r="AE54" s="1092"/>
      <c r="AF54" s="1091">
        <v>13.3</v>
      </c>
      <c r="AG54" s="1092"/>
      <c r="AH54" s="1091">
        <v>13</v>
      </c>
      <c r="AI54" s="1092"/>
      <c r="AJ54" s="1091">
        <v>11.9</v>
      </c>
      <c r="AK54" s="1092"/>
      <c r="AL54" s="1091">
        <v>11.2</v>
      </c>
      <c r="AM54" s="1092"/>
      <c r="AN54" s="1091">
        <v>9.6</v>
      </c>
      <c r="AO54" s="1092"/>
      <c r="AP54" s="1091">
        <v>8.6</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13.3</v>
      </c>
      <c r="CB54" s="1092"/>
      <c r="CC54" s="1091">
        <v>11.6</v>
      </c>
      <c r="CD54" s="1092"/>
      <c r="CE54" s="1091">
        <v>12.5</v>
      </c>
      <c r="CF54" s="1092"/>
      <c r="CG54" s="1091">
        <v>13</v>
      </c>
      <c r="CH54" s="1092"/>
      <c r="CI54" s="1091">
        <v>13</v>
      </c>
      <c r="CJ54" s="1092"/>
      <c r="CK54" s="1091">
        <v>12.1</v>
      </c>
      <c r="CL54" s="1092"/>
      <c r="CM54" s="1091">
        <v>11.4</v>
      </c>
      <c r="CN54" s="1092"/>
      <c r="CO54" s="1091">
        <v>10.5</v>
      </c>
      <c r="CP54" s="1092"/>
      <c r="CQ54" s="1091">
        <v>9.6</v>
      </c>
      <c r="CR54" s="1092"/>
      <c r="CS54" s="1091">
        <v>8.1999999999999993</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10.4</v>
      </c>
      <c r="EE54" s="1092"/>
      <c r="EF54" s="1091">
        <v>8.9</v>
      </c>
      <c r="EG54" s="1092"/>
      <c r="EH54" s="1091">
        <v>10</v>
      </c>
      <c r="EI54" s="1092"/>
      <c r="EJ54" s="1091">
        <v>10.7</v>
      </c>
      <c r="EK54" s="1092"/>
      <c r="EL54" s="1091">
        <v>10.4</v>
      </c>
      <c r="EM54" s="1092"/>
      <c r="EN54" s="1091">
        <v>9.5</v>
      </c>
      <c r="EO54" s="1092"/>
      <c r="EP54" s="1091">
        <v>8.8000000000000007</v>
      </c>
      <c r="EQ54" s="1092"/>
      <c r="ER54" s="1091">
        <v>8.1999999999999993</v>
      </c>
      <c r="ES54" s="1092"/>
      <c r="ET54" s="1091">
        <v>6.7</v>
      </c>
      <c r="EU54" s="1092"/>
      <c r="EV54" s="1091">
        <v>5.3</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25.4</v>
      </c>
      <c r="FS54" s="1095"/>
      <c r="FT54" s="1092"/>
      <c r="FU54" s="1096">
        <v>25.8</v>
      </c>
      <c r="FV54" s="1095"/>
      <c r="FW54" s="1091">
        <f>IF(面積=0,0,ROUND(FW53/面積,1))</f>
        <v>13.7</v>
      </c>
      <c r="FX54" s="1095"/>
      <c r="FY54" s="1091">
        <f>IF(面積=0,0,ROUND(FY53/面積,1))</f>
        <v>13.3</v>
      </c>
      <c r="FZ54" s="1095"/>
      <c r="GA54" s="1091">
        <f>IF(面積=0,0,ROUND(GA53/面積,1))</f>
        <v>10.7</v>
      </c>
      <c r="GB54" s="1095"/>
      <c r="GC54" s="1091">
        <f>IF(面積=0,0,ROUND(GC53/面積,1))</f>
        <v>13.7</v>
      </c>
      <c r="GD54" s="1095"/>
      <c r="GE54" s="1093">
        <f>IF(面積=0,0,ROUND(GE53/面積,1))</f>
        <v>25.8</v>
      </c>
      <c r="GF54" s="671"/>
      <c r="GG54" s="916"/>
      <c r="GH54" s="916"/>
      <c r="GI54" s="916"/>
      <c r="GJ54" s="567"/>
      <c r="GK54" s="566"/>
      <c r="GL54" s="1079">
        <v>11</v>
      </c>
      <c r="GM54" s="1080">
        <v>2</v>
      </c>
      <c r="GN54" s="1081">
        <v>0.85</v>
      </c>
      <c r="GO54" s="1082">
        <v>3.9</v>
      </c>
      <c r="GP54" s="1082">
        <v>0</v>
      </c>
      <c r="GQ54" s="1083">
        <v>3.9</v>
      </c>
      <c r="GR54" s="517"/>
      <c r="GS54" s="567"/>
      <c r="GT54" s="840"/>
      <c r="GU54" s="1097" t="s">
        <v>486</v>
      </c>
      <c r="GV54" s="1097"/>
      <c r="GW54" s="1097"/>
      <c r="GX54" s="1097"/>
      <c r="GY54" s="758"/>
      <c r="GZ54" s="1098"/>
      <c r="HA54" s="1099">
        <v>4.4000000000000004</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3.6</v>
      </c>
      <c r="GP55" s="1082">
        <v>0</v>
      </c>
      <c r="GQ55" s="1083">
        <v>3.6</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508</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3.3</v>
      </c>
      <c r="GP56" s="1082">
        <v>0</v>
      </c>
      <c r="GQ56" s="1083">
        <v>3.3</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v>
      </c>
      <c r="GP57" s="1082">
        <v>0</v>
      </c>
      <c r="GQ57" s="1083">
        <v>3</v>
      </c>
      <c r="GR57" s="932"/>
      <c r="GS57" s="516"/>
      <c r="GT57" s="1243"/>
      <c r="GU57" s="565"/>
      <c r="GV57" s="565"/>
      <c r="GW57" s="487"/>
      <c r="GX57" s="1246"/>
      <c r="GY57" s="566"/>
      <c r="GZ57" s="487"/>
      <c r="HA57" s="565"/>
      <c r="HB57" s="487"/>
      <c r="HC57" s="1031"/>
    </row>
    <row r="58" spans="1:212" ht="20.100000000000001" customHeight="1">
      <c r="A58" s="1141" t="s">
        <v>785</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0</v>
      </c>
      <c r="Y58" s="1147"/>
      <c r="Z58" s="1146">
        <v>0</v>
      </c>
      <c r="AA58" s="1147"/>
      <c r="AB58" s="1146">
        <v>0</v>
      </c>
      <c r="AC58" s="1147"/>
      <c r="AD58" s="1146">
        <v>0</v>
      </c>
      <c r="AE58" s="1147"/>
      <c r="AF58" s="1146">
        <v>0</v>
      </c>
      <c r="AG58" s="1147"/>
      <c r="AH58" s="1146">
        <v>0</v>
      </c>
      <c r="AI58" s="1147"/>
      <c r="AJ58" s="1146">
        <v>0</v>
      </c>
      <c r="AK58" s="1147"/>
      <c r="AL58" s="1146">
        <v>0</v>
      </c>
      <c r="AM58" s="1147"/>
      <c r="AN58" s="1146">
        <v>0</v>
      </c>
      <c r="AO58" s="1147"/>
      <c r="AP58" s="1146">
        <v>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0</v>
      </c>
      <c r="CB58" s="1147"/>
      <c r="CC58" s="1146">
        <v>0</v>
      </c>
      <c r="CD58" s="1147"/>
      <c r="CE58" s="1146">
        <v>0</v>
      </c>
      <c r="CF58" s="1147"/>
      <c r="CG58" s="1146">
        <v>0</v>
      </c>
      <c r="CH58" s="1147"/>
      <c r="CI58" s="1146">
        <v>0</v>
      </c>
      <c r="CJ58" s="1147"/>
      <c r="CK58" s="1146">
        <v>0</v>
      </c>
      <c r="CL58" s="1147"/>
      <c r="CM58" s="1146">
        <v>0</v>
      </c>
      <c r="CN58" s="1147"/>
      <c r="CO58" s="1146">
        <v>0</v>
      </c>
      <c r="CP58" s="1147"/>
      <c r="CQ58" s="1146">
        <v>0</v>
      </c>
      <c r="CR58" s="1147"/>
      <c r="CS58" s="1146">
        <v>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0</v>
      </c>
      <c r="EE58" s="1147"/>
      <c r="EF58" s="1146">
        <v>0</v>
      </c>
      <c r="EG58" s="1147"/>
      <c r="EH58" s="1146">
        <v>0</v>
      </c>
      <c r="EI58" s="1147"/>
      <c r="EJ58" s="1146">
        <v>0</v>
      </c>
      <c r="EK58" s="1147"/>
      <c r="EL58" s="1146">
        <v>0</v>
      </c>
      <c r="EM58" s="1147"/>
      <c r="EN58" s="1146">
        <v>0</v>
      </c>
      <c r="EO58" s="1147"/>
      <c r="EP58" s="1146">
        <v>0</v>
      </c>
      <c r="EQ58" s="1147"/>
      <c r="ER58" s="1146">
        <v>0</v>
      </c>
      <c r="ES58" s="1147"/>
      <c r="ET58" s="1146">
        <v>0</v>
      </c>
      <c r="EU58" s="1147"/>
      <c r="EV58" s="1146">
        <v>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0</v>
      </c>
      <c r="FS58" s="1150"/>
      <c r="FT58" s="1149"/>
      <c r="FU58" s="1151">
        <v>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2.8</v>
      </c>
      <c r="GP58" s="1082">
        <v>0</v>
      </c>
      <c r="GQ58" s="1083">
        <v>2.8</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0</v>
      </c>
      <c r="X59" s="574">
        <v>0</v>
      </c>
      <c r="Y59" s="1163">
        <v>0</v>
      </c>
      <c r="Z59" s="574">
        <v>0</v>
      </c>
      <c r="AA59" s="1163">
        <v>0</v>
      </c>
      <c r="AB59" s="574">
        <v>0</v>
      </c>
      <c r="AC59" s="1163">
        <v>0</v>
      </c>
      <c r="AD59" s="574">
        <v>0</v>
      </c>
      <c r="AE59" s="1163">
        <v>0</v>
      </c>
      <c r="AF59" s="574">
        <v>0</v>
      </c>
      <c r="AG59" s="1163">
        <v>0</v>
      </c>
      <c r="AH59" s="574">
        <v>0</v>
      </c>
      <c r="AI59" s="1163">
        <v>0</v>
      </c>
      <c r="AJ59" s="574">
        <v>0</v>
      </c>
      <c r="AK59" s="1163">
        <v>0</v>
      </c>
      <c r="AL59" s="574">
        <v>0</v>
      </c>
      <c r="AM59" s="1163">
        <v>0</v>
      </c>
      <c r="AN59" s="574">
        <v>0</v>
      </c>
      <c r="AO59" s="1163">
        <v>0</v>
      </c>
      <c r="AP59" s="574">
        <v>0</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0</v>
      </c>
      <c r="CA59" s="574">
        <v>0</v>
      </c>
      <c r="CB59" s="1163">
        <v>0</v>
      </c>
      <c r="CC59" s="574">
        <v>0</v>
      </c>
      <c r="CD59" s="1163">
        <v>0</v>
      </c>
      <c r="CE59" s="574">
        <v>0</v>
      </c>
      <c r="CF59" s="1163">
        <v>0</v>
      </c>
      <c r="CG59" s="574">
        <v>0</v>
      </c>
      <c r="CH59" s="1163">
        <v>0</v>
      </c>
      <c r="CI59" s="574">
        <v>0</v>
      </c>
      <c r="CJ59" s="1163">
        <v>0</v>
      </c>
      <c r="CK59" s="574">
        <v>0</v>
      </c>
      <c r="CL59" s="1163">
        <v>0</v>
      </c>
      <c r="CM59" s="574">
        <v>0</v>
      </c>
      <c r="CN59" s="1163">
        <v>0</v>
      </c>
      <c r="CO59" s="574">
        <v>0</v>
      </c>
      <c r="CP59" s="1163">
        <v>0</v>
      </c>
      <c r="CQ59" s="574">
        <v>0</v>
      </c>
      <c r="CR59" s="1163">
        <v>0</v>
      </c>
      <c r="CS59" s="574">
        <v>0</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0</v>
      </c>
      <c r="ED59" s="574">
        <v>0</v>
      </c>
      <c r="EE59" s="1163">
        <v>0</v>
      </c>
      <c r="EF59" s="574">
        <v>0</v>
      </c>
      <c r="EG59" s="1163">
        <v>0</v>
      </c>
      <c r="EH59" s="574">
        <v>0</v>
      </c>
      <c r="EI59" s="1163">
        <v>0</v>
      </c>
      <c r="EJ59" s="574">
        <v>0</v>
      </c>
      <c r="EK59" s="1163">
        <v>0</v>
      </c>
      <c r="EL59" s="574">
        <v>0</v>
      </c>
      <c r="EM59" s="1163">
        <v>0</v>
      </c>
      <c r="EN59" s="574">
        <v>0</v>
      </c>
      <c r="EO59" s="1163">
        <v>0</v>
      </c>
      <c r="EP59" s="574">
        <v>0</v>
      </c>
      <c r="EQ59" s="1163">
        <v>0</v>
      </c>
      <c r="ER59" s="574">
        <v>0</v>
      </c>
      <c r="ES59" s="1163">
        <v>0</v>
      </c>
      <c r="ET59" s="574">
        <v>0</v>
      </c>
      <c r="EU59" s="1163">
        <v>0</v>
      </c>
      <c r="EV59" s="574">
        <v>0</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c r="FN59" s="1161"/>
      <c r="FO59" s="1000"/>
      <c r="FP59" s="612"/>
      <c r="FQ59" s="1164">
        <v>0</v>
      </c>
      <c r="FR59" s="1165">
        <v>0</v>
      </c>
      <c r="FS59" s="1166"/>
      <c r="FT59" s="1164">
        <v>0</v>
      </c>
      <c r="FU59" s="1167">
        <v>0</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2.6</v>
      </c>
      <c r="GP59" s="1082">
        <v>0</v>
      </c>
      <c r="GQ59" s="1083">
        <v>2.6</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2.2999999999999998</v>
      </c>
      <c r="GP60" s="1082">
        <v>0</v>
      </c>
      <c r="GQ60" s="1083">
        <v>2.2999999999999998</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78</v>
      </c>
      <c r="Y61" s="1184"/>
      <c r="Z61" s="1185">
        <v>69</v>
      </c>
      <c r="AA61" s="1184"/>
      <c r="AB61" s="1185">
        <v>75</v>
      </c>
      <c r="AC61" s="1184"/>
      <c r="AD61" s="1185">
        <v>76</v>
      </c>
      <c r="AE61" s="1184"/>
      <c r="AF61" s="1185">
        <v>76</v>
      </c>
      <c r="AG61" s="1184"/>
      <c r="AH61" s="1185">
        <v>74</v>
      </c>
      <c r="AI61" s="1184"/>
      <c r="AJ61" s="1185">
        <v>68</v>
      </c>
      <c r="AK61" s="1184"/>
      <c r="AL61" s="1185">
        <v>64</v>
      </c>
      <c r="AM61" s="1184"/>
      <c r="AN61" s="1185">
        <v>55</v>
      </c>
      <c r="AO61" s="1184"/>
      <c r="AP61" s="1185">
        <v>49</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76</v>
      </c>
      <c r="CB61" s="1184"/>
      <c r="CC61" s="1185">
        <v>66</v>
      </c>
      <c r="CD61" s="1184"/>
      <c r="CE61" s="1185">
        <v>71</v>
      </c>
      <c r="CF61" s="1184"/>
      <c r="CG61" s="1185">
        <v>74</v>
      </c>
      <c r="CH61" s="1184"/>
      <c r="CI61" s="1185">
        <v>74</v>
      </c>
      <c r="CJ61" s="1184"/>
      <c r="CK61" s="1185">
        <v>69</v>
      </c>
      <c r="CL61" s="1184"/>
      <c r="CM61" s="1185">
        <v>65</v>
      </c>
      <c r="CN61" s="1184"/>
      <c r="CO61" s="1185">
        <v>60</v>
      </c>
      <c r="CP61" s="1184"/>
      <c r="CQ61" s="1185">
        <v>55</v>
      </c>
      <c r="CR61" s="1184"/>
      <c r="CS61" s="1185">
        <v>47</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59</v>
      </c>
      <c r="EE61" s="1184"/>
      <c r="EF61" s="1185">
        <v>51</v>
      </c>
      <c r="EG61" s="1184"/>
      <c r="EH61" s="1185">
        <v>57</v>
      </c>
      <c r="EI61" s="1184"/>
      <c r="EJ61" s="1185">
        <v>61</v>
      </c>
      <c r="EK61" s="1184"/>
      <c r="EL61" s="1185">
        <v>59</v>
      </c>
      <c r="EM61" s="1184"/>
      <c r="EN61" s="1185">
        <v>54</v>
      </c>
      <c r="EO61" s="1184"/>
      <c r="EP61" s="1185">
        <v>50</v>
      </c>
      <c r="EQ61" s="1184"/>
      <c r="ER61" s="1185">
        <v>47</v>
      </c>
      <c r="ES61" s="1184"/>
      <c r="ET61" s="1185">
        <v>38</v>
      </c>
      <c r="EU61" s="1184"/>
      <c r="EV61" s="1185">
        <v>30</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145</v>
      </c>
      <c r="FS61" s="1190"/>
      <c r="FT61" s="1188"/>
      <c r="FU61" s="1191">
        <v>147</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2.2000000000000002</v>
      </c>
      <c r="GP61" s="1082">
        <v>0</v>
      </c>
      <c r="GQ61" s="1083">
        <v>2.2000000000000002</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c r="FN66" s="1221"/>
      <c r="FO66" s="1181"/>
      <c r="FP66" s="1187"/>
      <c r="FQ66" s="1222"/>
      <c r="FR66" s="1223">
        <v>0</v>
      </c>
      <c r="FS66" s="1190"/>
      <c r="FT66" s="1222"/>
      <c r="FU66" s="1224">
        <v>0</v>
      </c>
      <c r="FV66" s="1225"/>
      <c r="FW66" s="1226"/>
      <c r="FX66" s="1226"/>
      <c r="FY66" s="1226"/>
      <c r="FZ66" s="1226"/>
      <c r="GA66" s="1226"/>
      <c r="GB66" s="1226"/>
      <c r="GC66" s="1227"/>
      <c r="GD66" s="1190"/>
      <c r="GE66" s="1228">
        <v>0</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f>$G68</f>
        <v>0</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f>$G68</f>
        <v>0</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329</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570</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566</v>
      </c>
      <c r="B3" s="385">
        <v>204</v>
      </c>
      <c r="C3" s="386" t="s">
        <v>336</v>
      </c>
      <c r="D3" s="387" t="s">
        <v>567</v>
      </c>
      <c r="E3" s="387"/>
      <c r="F3" s="387"/>
      <c r="G3" s="387"/>
      <c r="H3" s="387"/>
      <c r="I3" s="387"/>
      <c r="J3" s="388"/>
      <c r="K3" s="389" t="s">
        <v>338</v>
      </c>
      <c r="L3" s="390"/>
      <c r="M3" s="389" t="s">
        <v>339</v>
      </c>
      <c r="N3" s="390"/>
      <c r="O3" s="391" t="s">
        <v>792</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204</v>
      </c>
      <c r="BF3" s="386" t="s">
        <v>335</v>
      </c>
      <c r="BG3" s="398" t="s">
        <v>563</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204</v>
      </c>
      <c r="DI3" s="386" t="s">
        <v>335</v>
      </c>
      <c r="DJ3" s="398" t="s">
        <v>563</v>
      </c>
      <c r="DK3" s="398"/>
      <c r="DL3" s="398"/>
      <c r="DM3" s="398"/>
      <c r="DN3" s="398"/>
      <c r="DO3" s="398"/>
      <c r="DP3" s="399"/>
      <c r="DQ3" s="389" t="s">
        <v>338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204</v>
      </c>
      <c r="FL3" s="386" t="s">
        <v>335</v>
      </c>
      <c r="FM3" s="398" t="s">
        <v>563</v>
      </c>
      <c r="FN3" s="398"/>
      <c r="FO3" s="398"/>
      <c r="FP3" s="398"/>
      <c r="FQ3" s="398"/>
      <c r="FR3" s="398"/>
      <c r="FS3" s="399"/>
      <c r="FT3" s="389" t="s">
        <v>338</v>
      </c>
      <c r="FU3" s="390"/>
      <c r="FV3" s="389" t="s">
        <v>339</v>
      </c>
      <c r="FW3" s="390"/>
      <c r="FX3" s="391" t="s">
        <v>769</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571</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16.53</v>
      </c>
      <c r="E5" s="433" t="s">
        <v>350</v>
      </c>
      <c r="F5" s="434">
        <v>2.7</v>
      </c>
      <c r="G5" s="435" t="s">
        <v>351</v>
      </c>
      <c r="H5" s="436"/>
      <c r="I5" s="437">
        <v>44.7</v>
      </c>
      <c r="J5" s="438"/>
      <c r="K5" s="439">
        <v>60</v>
      </c>
      <c r="L5" s="440"/>
      <c r="M5" s="439">
        <v>20</v>
      </c>
      <c r="N5" s="440"/>
      <c r="O5" s="1470" t="s">
        <v>778</v>
      </c>
      <c r="P5" s="441"/>
      <c r="Q5" s="1471" t="s">
        <v>779</v>
      </c>
      <c r="R5" s="442"/>
      <c r="S5" s="1472" t="s">
        <v>780</v>
      </c>
      <c r="T5" s="443"/>
      <c r="U5" s="1473" t="s">
        <v>781</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16.53</v>
      </c>
      <c r="BH5" s="433" t="s">
        <v>350</v>
      </c>
      <c r="BI5" s="434">
        <v>2.7</v>
      </c>
      <c r="BJ5" s="435" t="s">
        <v>351</v>
      </c>
      <c r="BK5" s="436"/>
      <c r="BL5" s="437">
        <v>44.7</v>
      </c>
      <c r="BM5" s="438"/>
      <c r="BN5" s="439">
        <v>60</v>
      </c>
      <c r="BO5" s="440"/>
      <c r="BP5" s="439">
        <v>20</v>
      </c>
      <c r="BQ5" s="440"/>
      <c r="BR5" s="1470" t="s">
        <v>762</v>
      </c>
      <c r="BS5" s="441"/>
      <c r="BT5" s="1471" t="s">
        <v>779</v>
      </c>
      <c r="BU5" s="442"/>
      <c r="BV5" s="1472" t="s">
        <v>780</v>
      </c>
      <c r="BW5" s="443"/>
      <c r="BX5" s="1473" t="s">
        <v>781</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16.53</v>
      </c>
      <c r="DK5" s="433" t="s">
        <v>350</v>
      </c>
      <c r="DL5" s="434">
        <v>2.7</v>
      </c>
      <c r="DM5" s="435" t="s">
        <v>568</v>
      </c>
      <c r="DN5" s="436"/>
      <c r="DO5" s="437">
        <v>44.7</v>
      </c>
      <c r="DP5" s="438"/>
      <c r="DQ5" s="439">
        <v>60</v>
      </c>
      <c r="DR5" s="440"/>
      <c r="DS5" s="439">
        <v>20</v>
      </c>
      <c r="DT5" s="440"/>
      <c r="DU5" s="1470" t="s">
        <v>762</v>
      </c>
      <c r="DV5" s="441"/>
      <c r="DW5" s="1471" t="s">
        <v>779</v>
      </c>
      <c r="DX5" s="442"/>
      <c r="DY5" s="1472" t="s">
        <v>780</v>
      </c>
      <c r="DZ5" s="443"/>
      <c r="EA5" s="1473" t="s">
        <v>781</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16.53</v>
      </c>
      <c r="FN5" s="433" t="s">
        <v>350</v>
      </c>
      <c r="FO5" s="434">
        <v>2.7</v>
      </c>
      <c r="FP5" s="435" t="s">
        <v>351</v>
      </c>
      <c r="FQ5" s="436"/>
      <c r="FR5" s="437">
        <v>44.7</v>
      </c>
      <c r="FS5" s="438"/>
      <c r="FT5" s="439">
        <v>60</v>
      </c>
      <c r="FU5" s="440"/>
      <c r="FV5" s="439">
        <v>20</v>
      </c>
      <c r="FW5" s="440"/>
      <c r="FX5" s="1470" t="s">
        <v>793</v>
      </c>
      <c r="FY5" s="441"/>
      <c r="FZ5" s="1471" t="s">
        <v>794</v>
      </c>
      <c r="GA5" s="442"/>
      <c r="GB5" s="1472" t="s">
        <v>795</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553</v>
      </c>
      <c r="E9" s="522" t="s">
        <v>554</v>
      </c>
      <c r="F9" s="523" t="s">
        <v>265</v>
      </c>
      <c r="G9" s="524" t="s">
        <v>555</v>
      </c>
      <c r="H9" s="525" t="s">
        <v>556</v>
      </c>
      <c r="I9" s="526" t="s">
        <v>268</v>
      </c>
      <c r="J9" s="525" t="s">
        <v>556</v>
      </c>
      <c r="K9" s="526" t="s">
        <v>268</v>
      </c>
      <c r="L9" s="525" t="s">
        <v>556</v>
      </c>
      <c r="M9" s="526" t="s">
        <v>268</v>
      </c>
      <c r="N9" s="525" t="s">
        <v>556</v>
      </c>
      <c r="O9" s="526" t="s">
        <v>268</v>
      </c>
      <c r="P9" s="525" t="s">
        <v>556</v>
      </c>
      <c r="Q9" s="526" t="s">
        <v>268</v>
      </c>
      <c r="R9" s="525" t="s">
        <v>556</v>
      </c>
      <c r="S9" s="526" t="s">
        <v>268</v>
      </c>
      <c r="T9" s="525" t="s">
        <v>556</v>
      </c>
      <c r="U9" s="526" t="s">
        <v>268</v>
      </c>
      <c r="V9" s="525" t="s">
        <v>556</v>
      </c>
      <c r="W9" s="526" t="s">
        <v>268</v>
      </c>
      <c r="X9" s="525" t="s">
        <v>556</v>
      </c>
      <c r="Y9" s="526" t="s">
        <v>268</v>
      </c>
      <c r="Z9" s="525" t="s">
        <v>556</v>
      </c>
      <c r="AA9" s="526" t="s">
        <v>268</v>
      </c>
      <c r="AB9" s="525" t="s">
        <v>556</v>
      </c>
      <c r="AC9" s="526" t="s">
        <v>268</v>
      </c>
      <c r="AD9" s="525" t="s">
        <v>556</v>
      </c>
      <c r="AE9" s="526" t="s">
        <v>268</v>
      </c>
      <c r="AF9" s="525" t="s">
        <v>556</v>
      </c>
      <c r="AG9" s="526" t="s">
        <v>268</v>
      </c>
      <c r="AH9" s="525" t="s">
        <v>556</v>
      </c>
      <c r="AI9" s="526" t="s">
        <v>268</v>
      </c>
      <c r="AJ9" s="525" t="s">
        <v>556</v>
      </c>
      <c r="AK9" s="526" t="s">
        <v>268</v>
      </c>
      <c r="AL9" s="525" t="s">
        <v>556</v>
      </c>
      <c r="AM9" s="526" t="s">
        <v>268</v>
      </c>
      <c r="AN9" s="525" t="s">
        <v>556</v>
      </c>
      <c r="AO9" s="526" t="s">
        <v>268</v>
      </c>
      <c r="AP9" s="525" t="s">
        <v>556</v>
      </c>
      <c r="AQ9" s="526" t="s">
        <v>268</v>
      </c>
      <c r="AR9" s="525" t="s">
        <v>556</v>
      </c>
      <c r="AS9" s="526" t="s">
        <v>268</v>
      </c>
      <c r="AT9" s="525" t="s">
        <v>556</v>
      </c>
      <c r="AU9" s="526" t="s">
        <v>268</v>
      </c>
      <c r="AV9" s="525" t="s">
        <v>556</v>
      </c>
      <c r="AW9" s="526" t="s">
        <v>268</v>
      </c>
      <c r="AX9" s="525" t="s">
        <v>556</v>
      </c>
      <c r="AY9" s="526" t="s">
        <v>268</v>
      </c>
      <c r="AZ9" s="525" t="s">
        <v>556</v>
      </c>
      <c r="BA9" s="526" t="s">
        <v>268</v>
      </c>
      <c r="BB9" s="527" t="s">
        <v>271</v>
      </c>
      <c r="BC9" s="490"/>
      <c r="BD9" s="519" t="s">
        <v>260</v>
      </c>
      <c r="BE9" s="520" t="s">
        <v>261</v>
      </c>
      <c r="BF9" s="521" t="s">
        <v>262</v>
      </c>
      <c r="BG9" s="521" t="s">
        <v>553</v>
      </c>
      <c r="BH9" s="522" t="s">
        <v>554</v>
      </c>
      <c r="BI9" s="523" t="s">
        <v>265</v>
      </c>
      <c r="BJ9" s="524" t="s">
        <v>555</v>
      </c>
      <c r="BK9" s="525" t="s">
        <v>556</v>
      </c>
      <c r="BL9" s="526" t="s">
        <v>268</v>
      </c>
      <c r="BM9" s="525" t="s">
        <v>556</v>
      </c>
      <c r="BN9" s="526" t="s">
        <v>268</v>
      </c>
      <c r="BO9" s="525" t="s">
        <v>556</v>
      </c>
      <c r="BP9" s="526" t="s">
        <v>268</v>
      </c>
      <c r="BQ9" s="525" t="s">
        <v>556</v>
      </c>
      <c r="BR9" s="526" t="s">
        <v>268</v>
      </c>
      <c r="BS9" s="525" t="s">
        <v>556</v>
      </c>
      <c r="BT9" s="526" t="s">
        <v>268</v>
      </c>
      <c r="BU9" s="525" t="s">
        <v>556</v>
      </c>
      <c r="BV9" s="526" t="s">
        <v>268</v>
      </c>
      <c r="BW9" s="525" t="s">
        <v>556</v>
      </c>
      <c r="BX9" s="526" t="s">
        <v>268</v>
      </c>
      <c r="BY9" s="525" t="s">
        <v>556</v>
      </c>
      <c r="BZ9" s="526" t="s">
        <v>268</v>
      </c>
      <c r="CA9" s="525" t="s">
        <v>556</v>
      </c>
      <c r="CB9" s="526" t="s">
        <v>268</v>
      </c>
      <c r="CC9" s="525" t="s">
        <v>556</v>
      </c>
      <c r="CD9" s="526" t="s">
        <v>268</v>
      </c>
      <c r="CE9" s="525" t="s">
        <v>556</v>
      </c>
      <c r="CF9" s="526" t="s">
        <v>268</v>
      </c>
      <c r="CG9" s="525" t="s">
        <v>556</v>
      </c>
      <c r="CH9" s="526" t="s">
        <v>268</v>
      </c>
      <c r="CI9" s="525" t="s">
        <v>556</v>
      </c>
      <c r="CJ9" s="526" t="s">
        <v>268</v>
      </c>
      <c r="CK9" s="525" t="s">
        <v>556</v>
      </c>
      <c r="CL9" s="526" t="s">
        <v>268</v>
      </c>
      <c r="CM9" s="525" t="s">
        <v>556</v>
      </c>
      <c r="CN9" s="526" t="s">
        <v>268</v>
      </c>
      <c r="CO9" s="525" t="s">
        <v>556</v>
      </c>
      <c r="CP9" s="526" t="s">
        <v>268</v>
      </c>
      <c r="CQ9" s="525" t="s">
        <v>556</v>
      </c>
      <c r="CR9" s="526" t="s">
        <v>268</v>
      </c>
      <c r="CS9" s="525" t="s">
        <v>556</v>
      </c>
      <c r="CT9" s="526" t="s">
        <v>268</v>
      </c>
      <c r="CU9" s="525" t="s">
        <v>556</v>
      </c>
      <c r="CV9" s="526" t="s">
        <v>268</v>
      </c>
      <c r="CW9" s="525" t="s">
        <v>556</v>
      </c>
      <c r="CX9" s="526" t="s">
        <v>268</v>
      </c>
      <c r="CY9" s="525" t="s">
        <v>556</v>
      </c>
      <c r="CZ9" s="526" t="s">
        <v>268</v>
      </c>
      <c r="DA9" s="525" t="s">
        <v>556</v>
      </c>
      <c r="DB9" s="526" t="s">
        <v>268</v>
      </c>
      <c r="DC9" s="525" t="s">
        <v>556</v>
      </c>
      <c r="DD9" s="526" t="s">
        <v>268</v>
      </c>
      <c r="DE9" s="527" t="s">
        <v>271</v>
      </c>
      <c r="DF9" s="490"/>
      <c r="DG9" s="519" t="s">
        <v>260</v>
      </c>
      <c r="DH9" s="520" t="s">
        <v>261</v>
      </c>
      <c r="DI9" s="521" t="s">
        <v>262</v>
      </c>
      <c r="DJ9" s="521" t="s">
        <v>553</v>
      </c>
      <c r="DK9" s="522" t="s">
        <v>554</v>
      </c>
      <c r="DL9" s="523" t="s">
        <v>265</v>
      </c>
      <c r="DM9" s="524" t="s">
        <v>555</v>
      </c>
      <c r="DN9" s="525" t="s">
        <v>556</v>
      </c>
      <c r="DO9" s="526" t="s">
        <v>268</v>
      </c>
      <c r="DP9" s="525" t="s">
        <v>556</v>
      </c>
      <c r="DQ9" s="526" t="s">
        <v>268</v>
      </c>
      <c r="DR9" s="525" t="s">
        <v>556</v>
      </c>
      <c r="DS9" s="526" t="s">
        <v>268</v>
      </c>
      <c r="DT9" s="525" t="s">
        <v>556</v>
      </c>
      <c r="DU9" s="526" t="s">
        <v>268</v>
      </c>
      <c r="DV9" s="525" t="s">
        <v>556</v>
      </c>
      <c r="DW9" s="526" t="s">
        <v>268</v>
      </c>
      <c r="DX9" s="525" t="s">
        <v>556</v>
      </c>
      <c r="DY9" s="526" t="s">
        <v>268</v>
      </c>
      <c r="DZ9" s="525" t="s">
        <v>556</v>
      </c>
      <c r="EA9" s="526" t="s">
        <v>268</v>
      </c>
      <c r="EB9" s="525" t="s">
        <v>556</v>
      </c>
      <c r="EC9" s="526" t="s">
        <v>268</v>
      </c>
      <c r="ED9" s="525" t="s">
        <v>556</v>
      </c>
      <c r="EE9" s="526" t="s">
        <v>268</v>
      </c>
      <c r="EF9" s="525" t="s">
        <v>556</v>
      </c>
      <c r="EG9" s="526" t="s">
        <v>268</v>
      </c>
      <c r="EH9" s="525" t="s">
        <v>556</v>
      </c>
      <c r="EI9" s="526" t="s">
        <v>268</v>
      </c>
      <c r="EJ9" s="525" t="s">
        <v>556</v>
      </c>
      <c r="EK9" s="526" t="s">
        <v>268</v>
      </c>
      <c r="EL9" s="525" t="s">
        <v>556</v>
      </c>
      <c r="EM9" s="526" t="s">
        <v>268</v>
      </c>
      <c r="EN9" s="525" t="s">
        <v>556</v>
      </c>
      <c r="EO9" s="526" t="s">
        <v>268</v>
      </c>
      <c r="EP9" s="525" t="s">
        <v>556</v>
      </c>
      <c r="EQ9" s="526" t="s">
        <v>268</v>
      </c>
      <c r="ER9" s="525" t="s">
        <v>556</v>
      </c>
      <c r="ES9" s="526" t="s">
        <v>268</v>
      </c>
      <c r="ET9" s="525" t="s">
        <v>556</v>
      </c>
      <c r="EU9" s="526" t="s">
        <v>268</v>
      </c>
      <c r="EV9" s="525" t="s">
        <v>556</v>
      </c>
      <c r="EW9" s="526" t="s">
        <v>268</v>
      </c>
      <c r="EX9" s="525" t="s">
        <v>556</v>
      </c>
      <c r="EY9" s="526" t="s">
        <v>268</v>
      </c>
      <c r="EZ9" s="525" t="s">
        <v>556</v>
      </c>
      <c r="FA9" s="526" t="s">
        <v>268</v>
      </c>
      <c r="FB9" s="525" t="s">
        <v>556</v>
      </c>
      <c r="FC9" s="526" t="s">
        <v>268</v>
      </c>
      <c r="FD9" s="525" t="s">
        <v>556</v>
      </c>
      <c r="FE9" s="526" t="s">
        <v>268</v>
      </c>
      <c r="FF9" s="525" t="s">
        <v>556</v>
      </c>
      <c r="FG9" s="526" t="s">
        <v>268</v>
      </c>
      <c r="FH9" s="527" t="s">
        <v>271</v>
      </c>
      <c r="FI9" s="528"/>
      <c r="FJ9" s="529" t="s">
        <v>260</v>
      </c>
      <c r="FK9" s="520" t="s">
        <v>261</v>
      </c>
      <c r="FL9" s="521" t="s">
        <v>262</v>
      </c>
      <c r="FM9" s="521" t="s">
        <v>553</v>
      </c>
      <c r="FN9" s="522" t="s">
        <v>554</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77</v>
      </c>
      <c r="D10" s="542">
        <f>ROUND(3.68*0.85,2)</f>
        <v>3.13</v>
      </c>
      <c r="E10" s="540" t="s">
        <v>326</v>
      </c>
      <c r="F10" s="541" t="s">
        <v>197</v>
      </c>
      <c r="G10" s="543">
        <v>0</v>
      </c>
      <c r="H10" s="544">
        <f>ROUND(ROUND(3.68*0.85,2)*0.34*0,0)</f>
        <v>0</v>
      </c>
      <c r="I10" s="545">
        <v>0</v>
      </c>
      <c r="J10" s="546">
        <f>ROUND(ROUND(3.68*0.85,2)*0.34*0,0)</f>
        <v>0</v>
      </c>
      <c r="K10" s="547">
        <v>0</v>
      </c>
      <c r="L10" s="546">
        <f>ROUND(ROUND(3.68*0.85,2)*0.34*0,0)</f>
        <v>0</v>
      </c>
      <c r="M10" s="547">
        <v>0</v>
      </c>
      <c r="N10" s="546">
        <f>ROUND(ROUND(3.68*0.85,2)*0.34*0,0)</f>
        <v>0</v>
      </c>
      <c r="O10" s="547">
        <v>0</v>
      </c>
      <c r="P10" s="546">
        <f>ROUND(ROUND(3.68*0.85,2)*0.34*0,0)</f>
        <v>0</v>
      </c>
      <c r="Q10" s="547">
        <v>0</v>
      </c>
      <c r="R10" s="546">
        <f>ROUND(ROUND(3.68*0.85,2)*0.34*0,0)</f>
        <v>0</v>
      </c>
      <c r="S10" s="547">
        <v>0</v>
      </c>
      <c r="T10" s="546">
        <f>ROUND(ROUND(3.68*0.85,2)*0.34*0,0)</f>
        <v>0</v>
      </c>
      <c r="U10" s="547">
        <v>0</v>
      </c>
      <c r="V10" s="546">
        <f>ROUND(ROUND(3.68*0.85,2)*0.34*0,0)</f>
        <v>0</v>
      </c>
      <c r="W10" s="547">
        <v>130</v>
      </c>
      <c r="X10" s="546">
        <f>ROUND(ROUND(3.68*0.85,2)*0.34*130,0)</f>
        <v>138</v>
      </c>
      <c r="Y10" s="547">
        <v>170</v>
      </c>
      <c r="Z10" s="546">
        <f>ROUND(ROUND(3.68*0.85,2)*0.34*170,0)</f>
        <v>181</v>
      </c>
      <c r="AA10" s="547">
        <v>193</v>
      </c>
      <c r="AB10" s="546">
        <f>ROUND(ROUND(3.68*0.85,2)*0.34*193,0)</f>
        <v>205</v>
      </c>
      <c r="AC10" s="547">
        <v>188</v>
      </c>
      <c r="AD10" s="546">
        <f>ROUND(ROUND(3.68*0.85,2)*0.34*188,0)</f>
        <v>200</v>
      </c>
      <c r="AE10" s="547">
        <v>153</v>
      </c>
      <c r="AF10" s="546">
        <f>ROUND(ROUND(3.68*0.85,2)*0.34*153,0)</f>
        <v>163</v>
      </c>
      <c r="AG10" s="547">
        <v>90</v>
      </c>
      <c r="AH10" s="546">
        <f>ROUND(ROUND(3.68*0.85,2)*0.34*90,0)</f>
        <v>96</v>
      </c>
      <c r="AI10" s="547">
        <v>80</v>
      </c>
      <c r="AJ10" s="546">
        <f>ROUND(ROUND(3.68*0.85,2)*0.34*80,0)</f>
        <v>85</v>
      </c>
      <c r="AK10" s="547">
        <v>63</v>
      </c>
      <c r="AL10" s="546">
        <f>ROUND(ROUND(3.68*0.85,2)*0.34*63,0)</f>
        <v>67</v>
      </c>
      <c r="AM10" s="547">
        <v>39</v>
      </c>
      <c r="AN10" s="546">
        <f>ROUND(ROUND(3.68*0.85,2)*0.34*39,0)</f>
        <v>42</v>
      </c>
      <c r="AO10" s="547">
        <v>12</v>
      </c>
      <c r="AP10" s="546">
        <f>ROUND(ROUND(3.68*0.85,2)*0.34*12,0)</f>
        <v>13</v>
      </c>
      <c r="AQ10" s="547">
        <v>0</v>
      </c>
      <c r="AR10" s="546">
        <f>ROUND(ROUND(3.68*0.85,2)*0.34*0,0)</f>
        <v>0</v>
      </c>
      <c r="AS10" s="547">
        <v>0</v>
      </c>
      <c r="AT10" s="546">
        <f>ROUND(ROUND(3.68*0.85,2)*0.34*0,0)</f>
        <v>0</v>
      </c>
      <c r="AU10" s="547">
        <v>0</v>
      </c>
      <c r="AV10" s="546">
        <f>ROUND(ROUND(3.68*0.85,2)*0.34*0,0)</f>
        <v>0</v>
      </c>
      <c r="AW10" s="547">
        <v>0</v>
      </c>
      <c r="AX10" s="546">
        <f>ROUND(ROUND(3.68*0.85,2)*0.34*0,0)</f>
        <v>0</v>
      </c>
      <c r="AY10" s="547">
        <v>0</v>
      </c>
      <c r="AZ10" s="546">
        <f>ROUND(ROUND(3.68*0.85,2)*0.34*0,0)</f>
        <v>0</v>
      </c>
      <c r="BA10" s="547">
        <v>0</v>
      </c>
      <c r="BB10" s="548">
        <f>ROUND(ROUND(3.68*0.85,2)*0.34*0,0)</f>
        <v>0</v>
      </c>
      <c r="BC10" s="549"/>
      <c r="BD10" s="539"/>
      <c r="BE10" s="540"/>
      <c r="BF10" s="541"/>
      <c r="BG10" s="542"/>
      <c r="BH10" s="540"/>
      <c r="BI10" s="541"/>
      <c r="BJ10" s="543">
        <v>0</v>
      </c>
      <c r="BK10" s="544">
        <f>ROUND(ROUND(3.68*0.85,2)*0.34*0,0)</f>
        <v>0</v>
      </c>
      <c r="BL10" s="545">
        <v>0</v>
      </c>
      <c r="BM10" s="546">
        <f>ROUND(ROUND(3.68*0.85,2)*0.34*0,0)</f>
        <v>0</v>
      </c>
      <c r="BN10" s="547">
        <v>0</v>
      </c>
      <c r="BO10" s="546">
        <f>ROUND(ROUND(3.68*0.85,2)*0.34*0,0)</f>
        <v>0</v>
      </c>
      <c r="BP10" s="547">
        <v>0</v>
      </c>
      <c r="BQ10" s="546">
        <f>ROUND(ROUND(3.68*0.85,2)*0.34*0,0)</f>
        <v>0</v>
      </c>
      <c r="BR10" s="547">
        <v>0</v>
      </c>
      <c r="BS10" s="546">
        <f>ROUND(ROUND(3.68*0.85,2)*0.34*0,0)</f>
        <v>0</v>
      </c>
      <c r="BT10" s="547">
        <v>0</v>
      </c>
      <c r="BU10" s="546">
        <f>ROUND(ROUND(3.68*0.85,2)*0.34*0,0)</f>
        <v>0</v>
      </c>
      <c r="BV10" s="547">
        <v>0</v>
      </c>
      <c r="BW10" s="546">
        <f>ROUND(ROUND(3.68*0.85,2)*0.34*0,0)</f>
        <v>0</v>
      </c>
      <c r="BX10" s="547">
        <v>0</v>
      </c>
      <c r="BY10" s="546">
        <f>ROUND(ROUND(3.68*0.85,2)*0.34*0,0)</f>
        <v>0</v>
      </c>
      <c r="BZ10" s="547">
        <v>141</v>
      </c>
      <c r="CA10" s="546">
        <f>ROUND(ROUND(3.68*0.85,2)*0.34*141,0)</f>
        <v>150</v>
      </c>
      <c r="CB10" s="547">
        <v>192</v>
      </c>
      <c r="CC10" s="546">
        <f>ROUND(ROUND(3.68*0.85,2)*0.34*192,0)</f>
        <v>204</v>
      </c>
      <c r="CD10" s="547">
        <v>216</v>
      </c>
      <c r="CE10" s="546">
        <f>ROUND(ROUND(3.68*0.85,2)*0.34*216,0)</f>
        <v>230</v>
      </c>
      <c r="CF10" s="547">
        <v>204</v>
      </c>
      <c r="CG10" s="546">
        <f>ROUND(ROUND(3.68*0.85,2)*0.34*204,0)</f>
        <v>217</v>
      </c>
      <c r="CH10" s="547">
        <v>155</v>
      </c>
      <c r="CI10" s="546">
        <f>ROUND(ROUND(3.68*0.85,2)*0.34*155,0)</f>
        <v>165</v>
      </c>
      <c r="CJ10" s="547">
        <v>65</v>
      </c>
      <c r="CK10" s="546">
        <f>ROUND(ROUND(3.68*0.85,2)*0.34*65,0)</f>
        <v>69</v>
      </c>
      <c r="CL10" s="547">
        <v>63</v>
      </c>
      <c r="CM10" s="546">
        <f>ROUND(ROUND(3.68*0.85,2)*0.34*63,0)</f>
        <v>67</v>
      </c>
      <c r="CN10" s="547">
        <v>51</v>
      </c>
      <c r="CO10" s="546">
        <f>ROUND(ROUND(3.68*0.85,2)*0.34*51,0)</f>
        <v>54</v>
      </c>
      <c r="CP10" s="547">
        <v>37</v>
      </c>
      <c r="CQ10" s="546">
        <f>ROUND(ROUND(3.68*0.85,2)*0.34*37,0)</f>
        <v>39</v>
      </c>
      <c r="CR10" s="547">
        <v>17</v>
      </c>
      <c r="CS10" s="546">
        <f>ROUND(ROUND(3.68*0.85,2)*0.34*17,0)</f>
        <v>18</v>
      </c>
      <c r="CT10" s="547">
        <v>0</v>
      </c>
      <c r="CU10" s="546">
        <f>ROUND(ROUND(3.68*0.85,2)*0.34*0,0)</f>
        <v>0</v>
      </c>
      <c r="CV10" s="547">
        <v>0</v>
      </c>
      <c r="CW10" s="546">
        <f>ROUND(ROUND(3.68*0.85,2)*0.34*0,0)</f>
        <v>0</v>
      </c>
      <c r="CX10" s="547">
        <v>0</v>
      </c>
      <c r="CY10" s="546">
        <f>ROUND(ROUND(3.68*0.85,2)*0.34*0,0)</f>
        <v>0</v>
      </c>
      <c r="CZ10" s="547">
        <v>0</v>
      </c>
      <c r="DA10" s="546">
        <f>ROUND(ROUND(3.68*0.85,2)*0.34*0,0)</f>
        <v>0</v>
      </c>
      <c r="DB10" s="547">
        <v>0</v>
      </c>
      <c r="DC10" s="546">
        <f>ROUND(ROUND(3.68*0.85,2)*0.34*0,0)</f>
        <v>0</v>
      </c>
      <c r="DD10" s="547">
        <v>0</v>
      </c>
      <c r="DE10" s="548">
        <f>ROUND(ROUND(3.68*0.85,2)*0.34*0,0)</f>
        <v>0</v>
      </c>
      <c r="DF10" s="549"/>
      <c r="DG10" s="539"/>
      <c r="DH10" s="540"/>
      <c r="DI10" s="541"/>
      <c r="DJ10" s="542"/>
      <c r="DK10" s="540"/>
      <c r="DL10" s="541"/>
      <c r="DM10" s="543">
        <v>0</v>
      </c>
      <c r="DN10" s="544">
        <f>ROUND(ROUND(3.68*0.85,2)*0.34*0,0)</f>
        <v>0</v>
      </c>
      <c r="DO10" s="545">
        <v>0</v>
      </c>
      <c r="DP10" s="546">
        <f>ROUND(ROUND(3.68*0.85,2)*0.34*0,0)</f>
        <v>0</v>
      </c>
      <c r="DQ10" s="547">
        <v>0</v>
      </c>
      <c r="DR10" s="546">
        <f>ROUND(ROUND(3.68*0.85,2)*0.34*0,0)</f>
        <v>0</v>
      </c>
      <c r="DS10" s="547">
        <v>0</v>
      </c>
      <c r="DT10" s="546">
        <f>ROUND(ROUND(3.68*0.85,2)*0.34*0,0)</f>
        <v>0</v>
      </c>
      <c r="DU10" s="547">
        <v>0</v>
      </c>
      <c r="DV10" s="546">
        <f>ROUND(ROUND(3.68*0.85,2)*0.34*0,0)</f>
        <v>0</v>
      </c>
      <c r="DW10" s="547">
        <v>0</v>
      </c>
      <c r="DX10" s="546">
        <f>ROUND(ROUND(3.68*0.85,2)*0.34*0,0)</f>
        <v>0</v>
      </c>
      <c r="DY10" s="547">
        <v>0</v>
      </c>
      <c r="DZ10" s="546">
        <f>ROUND(ROUND(3.68*0.85,2)*0.34*0,0)</f>
        <v>0</v>
      </c>
      <c r="EA10" s="547">
        <v>0</v>
      </c>
      <c r="EB10" s="546">
        <f>ROUND(ROUND(3.68*0.85,2)*0.34*0,0)</f>
        <v>0</v>
      </c>
      <c r="EC10" s="547">
        <v>302</v>
      </c>
      <c r="ED10" s="546">
        <f>ROUND(ROUND(3.68*0.85,2)*0.34*302,0)</f>
        <v>321</v>
      </c>
      <c r="EE10" s="547">
        <v>369</v>
      </c>
      <c r="EF10" s="546">
        <f>ROUND(ROUND(3.68*0.85,2)*0.34*369,0)</f>
        <v>393</v>
      </c>
      <c r="EG10" s="547">
        <v>403</v>
      </c>
      <c r="EH10" s="546">
        <f>ROUND(ROUND(3.68*0.85,2)*0.34*403,0)</f>
        <v>429</v>
      </c>
      <c r="EI10" s="547">
        <v>383</v>
      </c>
      <c r="EJ10" s="546">
        <f>ROUND(ROUND(3.68*0.85,2)*0.34*383,0)</f>
        <v>408</v>
      </c>
      <c r="EK10" s="547">
        <v>316</v>
      </c>
      <c r="EL10" s="546">
        <f>ROUND(ROUND(3.68*0.85,2)*0.34*316,0)</f>
        <v>336</v>
      </c>
      <c r="EM10" s="547">
        <v>220</v>
      </c>
      <c r="EN10" s="546">
        <f>ROUND(ROUND(3.68*0.85,2)*0.34*220,0)</f>
        <v>234</v>
      </c>
      <c r="EO10" s="547">
        <v>112</v>
      </c>
      <c r="EP10" s="546">
        <f>ROUND(ROUND(3.68*0.85,2)*0.34*112,0)</f>
        <v>119</v>
      </c>
      <c r="EQ10" s="547">
        <v>42</v>
      </c>
      <c r="ER10" s="546">
        <f>ROUND(ROUND(3.68*0.85,2)*0.34*42,0)</f>
        <v>45</v>
      </c>
      <c r="ES10" s="547">
        <v>19</v>
      </c>
      <c r="ET10" s="546">
        <f>ROUND(ROUND(3.68*0.85,2)*0.34*19,0)</f>
        <v>20</v>
      </c>
      <c r="EU10" s="547">
        <v>2</v>
      </c>
      <c r="EV10" s="546">
        <f>ROUND(ROUND(3.68*0.85,2)*0.34*2,0)</f>
        <v>2</v>
      </c>
      <c r="EW10" s="547">
        <v>0</v>
      </c>
      <c r="EX10" s="546">
        <f>ROUND(ROUND(3.68*0.85,2)*0.34*0,0)</f>
        <v>0</v>
      </c>
      <c r="EY10" s="547">
        <v>0</v>
      </c>
      <c r="EZ10" s="546">
        <f>ROUND(ROUND(3.68*0.85,2)*0.34*0,0)</f>
        <v>0</v>
      </c>
      <c r="FA10" s="547">
        <v>0</v>
      </c>
      <c r="FB10" s="546">
        <f>ROUND(ROUND(3.68*0.85,2)*0.34*0,0)</f>
        <v>0</v>
      </c>
      <c r="FC10" s="547">
        <v>0</v>
      </c>
      <c r="FD10" s="546">
        <f>ROUND(ROUND(3.68*0.85,2)*0.34*0,0)</f>
        <v>0</v>
      </c>
      <c r="FE10" s="547">
        <v>0</v>
      </c>
      <c r="FF10" s="546">
        <f>ROUND(ROUND(3.68*0.85,2)*0.34*0,0)</f>
        <v>0</v>
      </c>
      <c r="FG10" s="547">
        <v>0</v>
      </c>
      <c r="FH10" s="548">
        <f>ROUND(ROUND(3.68*0.85,2)*0.34*0,0)</f>
        <v>0</v>
      </c>
      <c r="FI10" s="550"/>
      <c r="FJ10" s="551"/>
      <c r="FK10" s="540"/>
      <c r="FL10" s="541"/>
      <c r="FM10" s="542"/>
      <c r="FN10" s="540"/>
      <c r="FO10" s="541"/>
      <c r="FP10" s="552"/>
      <c r="FQ10" s="545"/>
      <c r="FR10" s="544" t="s">
        <v>494</v>
      </c>
      <c r="FS10" s="553"/>
      <c r="FT10" s="545"/>
      <c r="FU10" s="554" t="s">
        <v>494</v>
      </c>
      <c r="FV10" s="1255" t="s">
        <v>276</v>
      </c>
      <c r="FW10" s="1282"/>
      <c r="FX10" s="1283" t="s">
        <v>277</v>
      </c>
      <c r="FY10" s="1284"/>
      <c r="FZ10" s="1285" t="s">
        <v>278</v>
      </c>
      <c r="GA10" s="1286"/>
      <c r="GB10" s="1287" t="s">
        <v>564</v>
      </c>
      <c r="GC10" s="1288"/>
      <c r="GD10" s="563" t="s">
        <v>565</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494</v>
      </c>
      <c r="FS11" s="578"/>
      <c r="FT11" s="573"/>
      <c r="FU11" s="579" t="s">
        <v>494</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494</v>
      </c>
      <c r="FS12" s="578"/>
      <c r="FT12" s="573"/>
      <c r="FU12" s="579" t="s">
        <v>494</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527</v>
      </c>
      <c r="FS13" s="613"/>
      <c r="FT13" s="608"/>
      <c r="FU13" s="614" t="s">
        <v>527</v>
      </c>
      <c r="FV13" s="580"/>
      <c r="FW13" s="581"/>
      <c r="FX13" s="582"/>
      <c r="FY13" s="583"/>
      <c r="FZ13" s="584"/>
      <c r="GA13" s="585"/>
      <c r="GB13" s="586"/>
      <c r="GC13" s="587"/>
      <c r="GD13" s="586"/>
      <c r="GE13" s="588"/>
      <c r="GF13" s="486"/>
      <c r="GG13" s="589"/>
      <c r="GH13" s="589"/>
      <c r="GI13" s="589"/>
      <c r="GJ13" s="404"/>
      <c r="GK13" s="615">
        <v>204</v>
      </c>
      <c r="GL13" s="616"/>
      <c r="GM13" s="617" t="s">
        <v>431</v>
      </c>
      <c r="GN13" s="618">
        <v>3.68</v>
      </c>
      <c r="GO13" s="619">
        <v>0</v>
      </c>
      <c r="GP13" s="619">
        <v>1</v>
      </c>
      <c r="GQ13" s="620">
        <v>0</v>
      </c>
      <c r="GR13" s="621">
        <v>3.68</v>
      </c>
      <c r="GS13" s="565"/>
      <c r="GT13" s="404"/>
      <c r="GU13" s="615">
        <v>204</v>
      </c>
      <c r="GV13" s="616"/>
      <c r="GW13" s="622" t="s">
        <v>432</v>
      </c>
      <c r="GX13" s="623">
        <v>3.68</v>
      </c>
      <c r="GY13" s="624"/>
      <c r="GZ13" s="625">
        <v>0.65</v>
      </c>
      <c r="HA13" s="626">
        <v>2.39</v>
      </c>
      <c r="HB13" s="627"/>
      <c r="HC13" s="517"/>
      <c r="HD13" s="782"/>
      <c r="HE13" s="428"/>
      <c r="HF13" s="377"/>
      <c r="HG13" s="377"/>
    </row>
    <row r="14" spans="1:353" ht="20.100000000000001" customHeight="1">
      <c r="A14" s="628"/>
      <c r="B14" s="629"/>
      <c r="C14" s="629"/>
      <c r="D14" s="630" t="s">
        <v>557</v>
      </c>
      <c r="E14" s="629"/>
      <c r="F14" s="629"/>
      <c r="G14" s="1263"/>
      <c r="H14" s="1264">
        <f>SUM(H10:H13)</f>
        <v>0</v>
      </c>
      <c r="I14" s="1271"/>
      <c r="J14" s="1264">
        <f>SUM(J10:J13)</f>
        <v>0</v>
      </c>
      <c r="K14" s="1271"/>
      <c r="L14" s="1264">
        <f>SUM(L10:L13)</f>
        <v>0</v>
      </c>
      <c r="M14" s="1271"/>
      <c r="N14" s="1264">
        <f>SUM(N10:N13)</f>
        <v>0</v>
      </c>
      <c r="O14" s="1271"/>
      <c r="P14" s="1264">
        <f>SUM(P10:P13)</f>
        <v>0</v>
      </c>
      <c r="Q14" s="1271"/>
      <c r="R14" s="1264">
        <f>SUM(R10:R13)</f>
        <v>0</v>
      </c>
      <c r="S14" s="1271"/>
      <c r="T14" s="1264">
        <f>SUM(T10:T13)</f>
        <v>0</v>
      </c>
      <c r="U14" s="1271"/>
      <c r="V14" s="1264">
        <f>SUM(V10:V13)</f>
        <v>0</v>
      </c>
      <c r="W14" s="1271"/>
      <c r="X14" s="1264">
        <f>SUM(X10:X13)</f>
        <v>138</v>
      </c>
      <c r="Y14" s="1271"/>
      <c r="Z14" s="1264">
        <f>SUM(Z10:Z13)</f>
        <v>181</v>
      </c>
      <c r="AA14" s="1271"/>
      <c r="AB14" s="1264">
        <f>SUM(AB10:AB13)</f>
        <v>205</v>
      </c>
      <c r="AC14" s="1271"/>
      <c r="AD14" s="1264">
        <f>SUM(AD10:AD13)</f>
        <v>200</v>
      </c>
      <c r="AE14" s="1271"/>
      <c r="AF14" s="1264">
        <f>SUM(AF10:AF13)</f>
        <v>163</v>
      </c>
      <c r="AG14" s="1271"/>
      <c r="AH14" s="1264">
        <f>SUM(AH10:AH13)</f>
        <v>96</v>
      </c>
      <c r="AI14" s="1271"/>
      <c r="AJ14" s="1264">
        <f>SUM(AJ10:AJ13)</f>
        <v>85</v>
      </c>
      <c r="AK14" s="1271"/>
      <c r="AL14" s="1264">
        <f>SUM(AL10:AL13)</f>
        <v>67</v>
      </c>
      <c r="AM14" s="1271"/>
      <c r="AN14" s="1264">
        <f>SUM(AN10:AN13)</f>
        <v>42</v>
      </c>
      <c r="AO14" s="1271"/>
      <c r="AP14" s="1264">
        <f>SUM(AP10:AP13)</f>
        <v>13</v>
      </c>
      <c r="AQ14" s="1271"/>
      <c r="AR14" s="1264">
        <f>SUM(AR10:AR13)</f>
        <v>0</v>
      </c>
      <c r="AS14" s="1271"/>
      <c r="AT14" s="1264">
        <f>SUM(AT10:AT13)</f>
        <v>0</v>
      </c>
      <c r="AU14" s="1271"/>
      <c r="AV14" s="1264">
        <f>SUM(AV10:AV13)</f>
        <v>0</v>
      </c>
      <c r="AW14" s="1271"/>
      <c r="AX14" s="1264">
        <f>SUM(AX10:AX13)</f>
        <v>0</v>
      </c>
      <c r="AY14" s="1271"/>
      <c r="AZ14" s="1264">
        <f>SUM(AZ10:AZ13)</f>
        <v>0</v>
      </c>
      <c r="BA14" s="1271"/>
      <c r="BB14" s="1266">
        <f>SUM(BB10:BB13)</f>
        <v>0</v>
      </c>
      <c r="BC14" s="635"/>
      <c r="BD14" s="628"/>
      <c r="BE14" s="629"/>
      <c r="BF14" s="629"/>
      <c r="BG14" s="630" t="s">
        <v>557</v>
      </c>
      <c r="BH14" s="629"/>
      <c r="BI14" s="629"/>
      <c r="BJ14" s="1263"/>
      <c r="BK14" s="1264">
        <f>SUM(BK10:BK13)</f>
        <v>0</v>
      </c>
      <c r="BL14" s="1271"/>
      <c r="BM14" s="1264">
        <f>SUM(BM10:BM13)</f>
        <v>0</v>
      </c>
      <c r="BN14" s="1271"/>
      <c r="BO14" s="1264">
        <f>SUM(BO10:BO13)</f>
        <v>0</v>
      </c>
      <c r="BP14" s="1271"/>
      <c r="BQ14" s="1264">
        <f>SUM(BQ10:BQ13)</f>
        <v>0</v>
      </c>
      <c r="BR14" s="1271"/>
      <c r="BS14" s="1264">
        <f>SUM(BS10:BS13)</f>
        <v>0</v>
      </c>
      <c r="BT14" s="1271"/>
      <c r="BU14" s="1264">
        <f>SUM(BU10:BU13)</f>
        <v>0</v>
      </c>
      <c r="BV14" s="1271"/>
      <c r="BW14" s="1264">
        <f>SUM(BW10:BW13)</f>
        <v>0</v>
      </c>
      <c r="BX14" s="1271"/>
      <c r="BY14" s="1264">
        <f>SUM(BY10:BY13)</f>
        <v>0</v>
      </c>
      <c r="BZ14" s="1271"/>
      <c r="CA14" s="1264">
        <f>SUM(CA10:CA13)</f>
        <v>150</v>
      </c>
      <c r="CB14" s="1271"/>
      <c r="CC14" s="1264">
        <f>SUM(CC10:CC13)</f>
        <v>204</v>
      </c>
      <c r="CD14" s="1271"/>
      <c r="CE14" s="1264">
        <f>SUM(CE10:CE13)</f>
        <v>230</v>
      </c>
      <c r="CF14" s="1271"/>
      <c r="CG14" s="1264">
        <f>SUM(CG10:CG13)</f>
        <v>217</v>
      </c>
      <c r="CH14" s="1271"/>
      <c r="CI14" s="1264">
        <f>SUM(CI10:CI13)</f>
        <v>165</v>
      </c>
      <c r="CJ14" s="1271"/>
      <c r="CK14" s="1264">
        <f>SUM(CK10:CK13)</f>
        <v>69</v>
      </c>
      <c r="CL14" s="1271"/>
      <c r="CM14" s="1264">
        <f>SUM(CM10:CM13)</f>
        <v>67</v>
      </c>
      <c r="CN14" s="1271"/>
      <c r="CO14" s="1264">
        <f>SUM(CO10:CO13)</f>
        <v>54</v>
      </c>
      <c r="CP14" s="1271"/>
      <c r="CQ14" s="1264">
        <f>SUM(CQ10:CQ13)</f>
        <v>39</v>
      </c>
      <c r="CR14" s="1271"/>
      <c r="CS14" s="1264">
        <f>SUM(CS10:CS13)</f>
        <v>18</v>
      </c>
      <c r="CT14" s="1271"/>
      <c r="CU14" s="1264">
        <f>SUM(CU10:CU13)</f>
        <v>0</v>
      </c>
      <c r="CV14" s="1271"/>
      <c r="CW14" s="1264">
        <f>SUM(CW10:CW13)</f>
        <v>0</v>
      </c>
      <c r="CX14" s="1271"/>
      <c r="CY14" s="1264">
        <f>SUM(CY10:CY13)</f>
        <v>0</v>
      </c>
      <c r="CZ14" s="1271"/>
      <c r="DA14" s="1264">
        <f>SUM(DA10:DA13)</f>
        <v>0</v>
      </c>
      <c r="DB14" s="1271"/>
      <c r="DC14" s="1264">
        <f>SUM(DC10:DC13)</f>
        <v>0</v>
      </c>
      <c r="DD14" s="1271"/>
      <c r="DE14" s="1266">
        <f>SUM(DE10:DE13)</f>
        <v>0</v>
      </c>
      <c r="DF14" s="635"/>
      <c r="DG14" s="628"/>
      <c r="DH14" s="629"/>
      <c r="DI14" s="629"/>
      <c r="DJ14" s="630" t="s">
        <v>496</v>
      </c>
      <c r="DK14" s="629"/>
      <c r="DL14" s="629"/>
      <c r="DM14" s="1263"/>
      <c r="DN14" s="1264">
        <f>SUM(DN10:DN13)</f>
        <v>0</v>
      </c>
      <c r="DO14" s="1271"/>
      <c r="DP14" s="1264">
        <f>SUM(DP10:DP13)</f>
        <v>0</v>
      </c>
      <c r="DQ14" s="1271"/>
      <c r="DR14" s="1264">
        <f>SUM(DR10:DR13)</f>
        <v>0</v>
      </c>
      <c r="DS14" s="1271"/>
      <c r="DT14" s="1264">
        <f>SUM(DT10:DT13)</f>
        <v>0</v>
      </c>
      <c r="DU14" s="1271"/>
      <c r="DV14" s="1264">
        <f>SUM(DV10:DV13)</f>
        <v>0</v>
      </c>
      <c r="DW14" s="1271"/>
      <c r="DX14" s="1264">
        <f>SUM(DX10:DX13)</f>
        <v>0</v>
      </c>
      <c r="DY14" s="1271"/>
      <c r="DZ14" s="1264">
        <f>SUM(DZ10:DZ13)</f>
        <v>0</v>
      </c>
      <c r="EA14" s="1271"/>
      <c r="EB14" s="1264">
        <f>SUM(EB10:EB13)</f>
        <v>0</v>
      </c>
      <c r="EC14" s="1271"/>
      <c r="ED14" s="1264">
        <f>SUM(ED10:ED13)</f>
        <v>321</v>
      </c>
      <c r="EE14" s="1271"/>
      <c r="EF14" s="1264">
        <f>SUM(EF10:EF13)</f>
        <v>393</v>
      </c>
      <c r="EG14" s="1271"/>
      <c r="EH14" s="1264">
        <f>SUM(EH10:EH13)</f>
        <v>429</v>
      </c>
      <c r="EI14" s="1271"/>
      <c r="EJ14" s="1264">
        <f>SUM(EJ10:EJ13)</f>
        <v>408</v>
      </c>
      <c r="EK14" s="1271"/>
      <c r="EL14" s="1264">
        <f>SUM(EL10:EL13)</f>
        <v>336</v>
      </c>
      <c r="EM14" s="1271"/>
      <c r="EN14" s="1264">
        <f>SUM(EN10:EN13)</f>
        <v>234</v>
      </c>
      <c r="EO14" s="1271"/>
      <c r="EP14" s="1264">
        <f>SUM(EP10:EP13)</f>
        <v>119</v>
      </c>
      <c r="EQ14" s="1271"/>
      <c r="ER14" s="1264">
        <f>SUM(ER10:ER13)</f>
        <v>45</v>
      </c>
      <c r="ES14" s="1271"/>
      <c r="ET14" s="1264">
        <f>SUM(ET10:ET13)</f>
        <v>20</v>
      </c>
      <c r="EU14" s="1271"/>
      <c r="EV14" s="1264">
        <f>SUM(EV10:EV13)</f>
        <v>2</v>
      </c>
      <c r="EW14" s="1271"/>
      <c r="EX14" s="1264">
        <f>SUM(EX10:EX13)</f>
        <v>0</v>
      </c>
      <c r="EY14" s="1271"/>
      <c r="EZ14" s="1264">
        <f>SUM(EZ10:EZ13)</f>
        <v>0</v>
      </c>
      <c r="FA14" s="1271"/>
      <c r="FB14" s="1264">
        <f>SUM(FB10:FB13)</f>
        <v>0</v>
      </c>
      <c r="FC14" s="1271"/>
      <c r="FD14" s="1264">
        <f>SUM(FD10:FD13)</f>
        <v>0</v>
      </c>
      <c r="FE14" s="1271"/>
      <c r="FF14" s="1264">
        <f>SUM(FF10:FF13)</f>
        <v>0</v>
      </c>
      <c r="FG14" s="1271"/>
      <c r="FH14" s="1266">
        <f>SUM(FH10:FH13)</f>
        <v>0</v>
      </c>
      <c r="FI14" s="636"/>
      <c r="FJ14" s="551"/>
      <c r="FK14" s="629"/>
      <c r="FL14" s="629"/>
      <c r="FM14" s="630" t="s">
        <v>557</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558</v>
      </c>
      <c r="E15" s="647" t="s">
        <v>285</v>
      </c>
      <c r="F15" s="648" t="s">
        <v>104</v>
      </c>
      <c r="G15" s="649" t="s">
        <v>559</v>
      </c>
      <c r="H15" s="650" t="s">
        <v>560</v>
      </c>
      <c r="I15" s="651" t="s">
        <v>288</v>
      </c>
      <c r="J15" s="650" t="s">
        <v>560</v>
      </c>
      <c r="K15" s="651" t="s">
        <v>288</v>
      </c>
      <c r="L15" s="650" t="s">
        <v>560</v>
      </c>
      <c r="M15" s="651" t="s">
        <v>288</v>
      </c>
      <c r="N15" s="650" t="s">
        <v>502</v>
      </c>
      <c r="O15" s="651" t="s">
        <v>288</v>
      </c>
      <c r="P15" s="650" t="s">
        <v>560</v>
      </c>
      <c r="Q15" s="651" t="s">
        <v>288</v>
      </c>
      <c r="R15" s="650" t="s">
        <v>560</v>
      </c>
      <c r="S15" s="651" t="s">
        <v>288</v>
      </c>
      <c r="T15" s="650" t="s">
        <v>560</v>
      </c>
      <c r="U15" s="651" t="s">
        <v>288</v>
      </c>
      <c r="V15" s="650" t="s">
        <v>560</v>
      </c>
      <c r="W15" s="651" t="s">
        <v>288</v>
      </c>
      <c r="X15" s="650" t="s">
        <v>560</v>
      </c>
      <c r="Y15" s="651" t="s">
        <v>288</v>
      </c>
      <c r="Z15" s="650" t="s">
        <v>560</v>
      </c>
      <c r="AA15" s="651" t="s">
        <v>288</v>
      </c>
      <c r="AB15" s="650" t="s">
        <v>560</v>
      </c>
      <c r="AC15" s="651" t="s">
        <v>288</v>
      </c>
      <c r="AD15" s="650" t="s">
        <v>560</v>
      </c>
      <c r="AE15" s="651" t="s">
        <v>288</v>
      </c>
      <c r="AF15" s="650" t="s">
        <v>560</v>
      </c>
      <c r="AG15" s="651" t="s">
        <v>288</v>
      </c>
      <c r="AH15" s="650" t="s">
        <v>560</v>
      </c>
      <c r="AI15" s="651" t="s">
        <v>288</v>
      </c>
      <c r="AJ15" s="650" t="s">
        <v>560</v>
      </c>
      <c r="AK15" s="651" t="s">
        <v>288</v>
      </c>
      <c r="AL15" s="650" t="s">
        <v>560</v>
      </c>
      <c r="AM15" s="651" t="s">
        <v>288</v>
      </c>
      <c r="AN15" s="650" t="s">
        <v>560</v>
      </c>
      <c r="AO15" s="651" t="s">
        <v>288</v>
      </c>
      <c r="AP15" s="650" t="s">
        <v>560</v>
      </c>
      <c r="AQ15" s="651" t="s">
        <v>288</v>
      </c>
      <c r="AR15" s="650" t="s">
        <v>560</v>
      </c>
      <c r="AS15" s="651" t="s">
        <v>288</v>
      </c>
      <c r="AT15" s="650" t="s">
        <v>560</v>
      </c>
      <c r="AU15" s="651" t="s">
        <v>288</v>
      </c>
      <c r="AV15" s="650" t="s">
        <v>560</v>
      </c>
      <c r="AW15" s="651" t="s">
        <v>288</v>
      </c>
      <c r="AX15" s="650" t="s">
        <v>560</v>
      </c>
      <c r="AY15" s="651" t="s">
        <v>288</v>
      </c>
      <c r="AZ15" s="650" t="s">
        <v>560</v>
      </c>
      <c r="BA15" s="651" t="s">
        <v>288</v>
      </c>
      <c r="BB15" s="652" t="s">
        <v>291</v>
      </c>
      <c r="BC15" s="653"/>
      <c r="BD15" s="519" t="s">
        <v>283</v>
      </c>
      <c r="BE15" s="645" t="s">
        <v>261</v>
      </c>
      <c r="BF15" s="646" t="s">
        <v>262</v>
      </c>
      <c r="BG15" s="647" t="s">
        <v>499</v>
      </c>
      <c r="BH15" s="647" t="s">
        <v>285</v>
      </c>
      <c r="BI15" s="648" t="s">
        <v>104</v>
      </c>
      <c r="BJ15" s="649" t="s">
        <v>559</v>
      </c>
      <c r="BK15" s="650" t="s">
        <v>560</v>
      </c>
      <c r="BL15" s="651" t="s">
        <v>288</v>
      </c>
      <c r="BM15" s="650" t="s">
        <v>502</v>
      </c>
      <c r="BN15" s="651" t="s">
        <v>288</v>
      </c>
      <c r="BO15" s="650" t="s">
        <v>502</v>
      </c>
      <c r="BP15" s="651" t="s">
        <v>288</v>
      </c>
      <c r="BQ15" s="650" t="s">
        <v>560</v>
      </c>
      <c r="BR15" s="651" t="s">
        <v>288</v>
      </c>
      <c r="BS15" s="650" t="s">
        <v>560</v>
      </c>
      <c r="BT15" s="651" t="s">
        <v>288</v>
      </c>
      <c r="BU15" s="650" t="s">
        <v>560</v>
      </c>
      <c r="BV15" s="651" t="s">
        <v>288</v>
      </c>
      <c r="BW15" s="650" t="s">
        <v>560</v>
      </c>
      <c r="BX15" s="651" t="s">
        <v>288</v>
      </c>
      <c r="BY15" s="650" t="s">
        <v>560</v>
      </c>
      <c r="BZ15" s="651" t="s">
        <v>288</v>
      </c>
      <c r="CA15" s="650" t="s">
        <v>560</v>
      </c>
      <c r="CB15" s="651" t="s">
        <v>288</v>
      </c>
      <c r="CC15" s="650" t="s">
        <v>560</v>
      </c>
      <c r="CD15" s="651" t="s">
        <v>288</v>
      </c>
      <c r="CE15" s="650" t="s">
        <v>560</v>
      </c>
      <c r="CF15" s="651" t="s">
        <v>288</v>
      </c>
      <c r="CG15" s="650" t="s">
        <v>502</v>
      </c>
      <c r="CH15" s="651" t="s">
        <v>288</v>
      </c>
      <c r="CI15" s="650" t="s">
        <v>560</v>
      </c>
      <c r="CJ15" s="651" t="s">
        <v>288</v>
      </c>
      <c r="CK15" s="650" t="s">
        <v>560</v>
      </c>
      <c r="CL15" s="651" t="s">
        <v>288</v>
      </c>
      <c r="CM15" s="650" t="s">
        <v>560</v>
      </c>
      <c r="CN15" s="651" t="s">
        <v>288</v>
      </c>
      <c r="CO15" s="650" t="s">
        <v>560</v>
      </c>
      <c r="CP15" s="651" t="s">
        <v>288</v>
      </c>
      <c r="CQ15" s="650" t="s">
        <v>560</v>
      </c>
      <c r="CR15" s="651" t="s">
        <v>288</v>
      </c>
      <c r="CS15" s="650" t="s">
        <v>560</v>
      </c>
      <c r="CT15" s="651" t="s">
        <v>288</v>
      </c>
      <c r="CU15" s="650" t="s">
        <v>560</v>
      </c>
      <c r="CV15" s="651" t="s">
        <v>288</v>
      </c>
      <c r="CW15" s="650" t="s">
        <v>560</v>
      </c>
      <c r="CX15" s="651" t="s">
        <v>288</v>
      </c>
      <c r="CY15" s="650" t="s">
        <v>560</v>
      </c>
      <c r="CZ15" s="651" t="s">
        <v>288</v>
      </c>
      <c r="DA15" s="650" t="s">
        <v>560</v>
      </c>
      <c r="DB15" s="651" t="s">
        <v>288</v>
      </c>
      <c r="DC15" s="650" t="s">
        <v>560</v>
      </c>
      <c r="DD15" s="651" t="s">
        <v>288</v>
      </c>
      <c r="DE15" s="652" t="s">
        <v>291</v>
      </c>
      <c r="DF15" s="653"/>
      <c r="DG15" s="519" t="s">
        <v>283</v>
      </c>
      <c r="DH15" s="645" t="s">
        <v>261</v>
      </c>
      <c r="DI15" s="646" t="s">
        <v>262</v>
      </c>
      <c r="DJ15" s="647" t="s">
        <v>558</v>
      </c>
      <c r="DK15" s="647" t="s">
        <v>285</v>
      </c>
      <c r="DL15" s="648" t="s">
        <v>104</v>
      </c>
      <c r="DM15" s="649" t="s">
        <v>559</v>
      </c>
      <c r="DN15" s="650" t="s">
        <v>502</v>
      </c>
      <c r="DO15" s="651" t="s">
        <v>288</v>
      </c>
      <c r="DP15" s="650" t="s">
        <v>560</v>
      </c>
      <c r="DQ15" s="651" t="s">
        <v>288</v>
      </c>
      <c r="DR15" s="650" t="s">
        <v>560</v>
      </c>
      <c r="DS15" s="651" t="s">
        <v>288</v>
      </c>
      <c r="DT15" s="650" t="s">
        <v>560</v>
      </c>
      <c r="DU15" s="651" t="s">
        <v>288</v>
      </c>
      <c r="DV15" s="650" t="s">
        <v>560</v>
      </c>
      <c r="DW15" s="651" t="s">
        <v>288</v>
      </c>
      <c r="DX15" s="650" t="s">
        <v>560</v>
      </c>
      <c r="DY15" s="651" t="s">
        <v>288</v>
      </c>
      <c r="DZ15" s="650" t="s">
        <v>560</v>
      </c>
      <c r="EA15" s="651" t="s">
        <v>288</v>
      </c>
      <c r="EB15" s="650" t="s">
        <v>502</v>
      </c>
      <c r="EC15" s="651" t="s">
        <v>288</v>
      </c>
      <c r="ED15" s="650" t="s">
        <v>560</v>
      </c>
      <c r="EE15" s="651" t="s">
        <v>288</v>
      </c>
      <c r="EF15" s="650" t="s">
        <v>560</v>
      </c>
      <c r="EG15" s="651" t="s">
        <v>288</v>
      </c>
      <c r="EH15" s="650" t="s">
        <v>560</v>
      </c>
      <c r="EI15" s="651" t="s">
        <v>288</v>
      </c>
      <c r="EJ15" s="650" t="s">
        <v>560</v>
      </c>
      <c r="EK15" s="651" t="s">
        <v>288</v>
      </c>
      <c r="EL15" s="650" t="s">
        <v>560</v>
      </c>
      <c r="EM15" s="651" t="s">
        <v>288</v>
      </c>
      <c r="EN15" s="650" t="s">
        <v>560</v>
      </c>
      <c r="EO15" s="651" t="s">
        <v>288</v>
      </c>
      <c r="EP15" s="650" t="s">
        <v>560</v>
      </c>
      <c r="EQ15" s="651" t="s">
        <v>288</v>
      </c>
      <c r="ER15" s="650" t="s">
        <v>560</v>
      </c>
      <c r="ES15" s="651" t="s">
        <v>288</v>
      </c>
      <c r="ET15" s="650" t="s">
        <v>560</v>
      </c>
      <c r="EU15" s="651" t="s">
        <v>288</v>
      </c>
      <c r="EV15" s="650" t="s">
        <v>502</v>
      </c>
      <c r="EW15" s="651" t="s">
        <v>288</v>
      </c>
      <c r="EX15" s="650" t="s">
        <v>560</v>
      </c>
      <c r="EY15" s="651" t="s">
        <v>288</v>
      </c>
      <c r="EZ15" s="650" t="s">
        <v>560</v>
      </c>
      <c r="FA15" s="651" t="s">
        <v>288</v>
      </c>
      <c r="FB15" s="650" t="s">
        <v>560</v>
      </c>
      <c r="FC15" s="651" t="s">
        <v>288</v>
      </c>
      <c r="FD15" s="650" t="s">
        <v>560</v>
      </c>
      <c r="FE15" s="651" t="s">
        <v>288</v>
      </c>
      <c r="FF15" s="650" t="s">
        <v>560</v>
      </c>
      <c r="FG15" s="651" t="s">
        <v>288</v>
      </c>
      <c r="FH15" s="652" t="s">
        <v>291</v>
      </c>
      <c r="FI15" s="654"/>
      <c r="FJ15" s="529" t="s">
        <v>283</v>
      </c>
      <c r="FK15" s="645" t="s">
        <v>261</v>
      </c>
      <c r="FL15" s="646" t="s">
        <v>262</v>
      </c>
      <c r="FM15" s="647" t="s">
        <v>558</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77</v>
      </c>
      <c r="D16" s="542">
        <v>3.68</v>
      </c>
      <c r="E16" s="663" t="s">
        <v>325</v>
      </c>
      <c r="F16" s="664"/>
      <c r="G16" s="665">
        <v>0</v>
      </c>
      <c r="H16" s="546">
        <f>ROUND(3.68*2.1*0,0)</f>
        <v>0</v>
      </c>
      <c r="I16" s="666">
        <v>0</v>
      </c>
      <c r="J16" s="546">
        <f>ROUND(3.68*2.1*0,0)</f>
        <v>0</v>
      </c>
      <c r="K16" s="666">
        <v>0</v>
      </c>
      <c r="L16" s="546">
        <f>ROUND(3.68*2.1*0,0)</f>
        <v>0</v>
      </c>
      <c r="M16" s="666">
        <v>0</v>
      </c>
      <c r="N16" s="546">
        <f>ROUND(3.68*2.1*0,0)</f>
        <v>0</v>
      </c>
      <c r="O16" s="666">
        <v>0</v>
      </c>
      <c r="P16" s="546">
        <f>ROUND(3.68*2.1*0,0)</f>
        <v>0</v>
      </c>
      <c r="Q16" s="666">
        <v>0</v>
      </c>
      <c r="R16" s="546">
        <f>ROUND(3.68*2.1*0,0)</f>
        <v>0</v>
      </c>
      <c r="S16" s="666">
        <v>0</v>
      </c>
      <c r="T16" s="546">
        <f>ROUND(3.68*2.1*0,0)</f>
        <v>0</v>
      </c>
      <c r="U16" s="666">
        <v>0</v>
      </c>
      <c r="V16" s="546">
        <f>ROUND(3.68*2.1*0,0)</f>
        <v>0</v>
      </c>
      <c r="W16" s="666">
        <v>3.3</v>
      </c>
      <c r="X16" s="546">
        <f>ROUND(3.68*2.1*3.3,0)</f>
        <v>26</v>
      </c>
      <c r="Y16" s="666">
        <v>4.5</v>
      </c>
      <c r="Z16" s="546">
        <f>ROUND(3.68*2.1*4.5,0)</f>
        <v>35</v>
      </c>
      <c r="AA16" s="666">
        <v>5.2</v>
      </c>
      <c r="AB16" s="546">
        <f>ROUND(3.68*2.1*5.2,0)</f>
        <v>40</v>
      </c>
      <c r="AC16" s="666">
        <v>5.7</v>
      </c>
      <c r="AD16" s="546">
        <f>ROUND(3.68*2.1*5.7,0)</f>
        <v>44</v>
      </c>
      <c r="AE16" s="666">
        <v>5.9</v>
      </c>
      <c r="AF16" s="546">
        <f>ROUND(3.68*2.1*5.9,0)</f>
        <v>46</v>
      </c>
      <c r="AG16" s="666">
        <v>5.9</v>
      </c>
      <c r="AH16" s="546">
        <f>ROUND(3.68*2.1*5.9,0)</f>
        <v>46</v>
      </c>
      <c r="AI16" s="666">
        <v>5.4</v>
      </c>
      <c r="AJ16" s="546">
        <f>ROUND(3.68*2.1*5.4,0)</f>
        <v>42</v>
      </c>
      <c r="AK16" s="666">
        <v>4.9000000000000004</v>
      </c>
      <c r="AL16" s="546">
        <f>ROUND(3.68*2.1*4.9,0)</f>
        <v>38</v>
      </c>
      <c r="AM16" s="666">
        <v>4</v>
      </c>
      <c r="AN16" s="546">
        <f>ROUND(3.68*2.1*4,0)</f>
        <v>31</v>
      </c>
      <c r="AO16" s="666">
        <v>3.3</v>
      </c>
      <c r="AP16" s="546">
        <f>ROUND(3.68*2.1*3.3,0)</f>
        <v>26</v>
      </c>
      <c r="AQ16" s="666">
        <v>0</v>
      </c>
      <c r="AR16" s="546">
        <f>ROUND(3.68*2.1*0,0)</f>
        <v>0</v>
      </c>
      <c r="AS16" s="666">
        <v>0</v>
      </c>
      <c r="AT16" s="546">
        <f>ROUND(3.68*2.1*0,0)</f>
        <v>0</v>
      </c>
      <c r="AU16" s="666">
        <v>0</v>
      </c>
      <c r="AV16" s="546">
        <f>ROUND(3.68*2.1*0,0)</f>
        <v>0</v>
      </c>
      <c r="AW16" s="666">
        <v>0</v>
      </c>
      <c r="AX16" s="546">
        <f>ROUND(3.68*2.1*0,0)</f>
        <v>0</v>
      </c>
      <c r="AY16" s="666">
        <v>0</v>
      </c>
      <c r="AZ16" s="546">
        <f>ROUND(3.68*2.1*0,0)</f>
        <v>0</v>
      </c>
      <c r="BA16" s="666">
        <v>0</v>
      </c>
      <c r="BB16" s="667">
        <f>ROUND(3.68*2.1*0,0)</f>
        <v>0</v>
      </c>
      <c r="BC16" s="549"/>
      <c r="BD16" s="539"/>
      <c r="BE16" s="541" t="s">
        <v>229</v>
      </c>
      <c r="BF16" s="662" t="s">
        <v>77</v>
      </c>
      <c r="BG16" s="542">
        <v>3.68</v>
      </c>
      <c r="BH16" s="663" t="s">
        <v>325</v>
      </c>
      <c r="BI16" s="664"/>
      <c r="BJ16" s="665">
        <v>0</v>
      </c>
      <c r="BK16" s="546">
        <f>ROUND(3.68*2.1*0,0)</f>
        <v>0</v>
      </c>
      <c r="BL16" s="666">
        <v>0</v>
      </c>
      <c r="BM16" s="546">
        <f>ROUND(3.68*2.1*0,0)</f>
        <v>0</v>
      </c>
      <c r="BN16" s="666">
        <v>0</v>
      </c>
      <c r="BO16" s="546">
        <f>ROUND(3.68*2.1*0,0)</f>
        <v>0</v>
      </c>
      <c r="BP16" s="666">
        <v>0</v>
      </c>
      <c r="BQ16" s="546">
        <f>ROUND(3.68*2.1*0,0)</f>
        <v>0</v>
      </c>
      <c r="BR16" s="666">
        <v>0</v>
      </c>
      <c r="BS16" s="546">
        <f>ROUND(3.68*2.1*0,0)</f>
        <v>0</v>
      </c>
      <c r="BT16" s="666">
        <v>0</v>
      </c>
      <c r="BU16" s="546">
        <f>ROUND(3.68*2.1*0,0)</f>
        <v>0</v>
      </c>
      <c r="BV16" s="666">
        <v>0</v>
      </c>
      <c r="BW16" s="546">
        <f>ROUND(3.68*2.1*0,0)</f>
        <v>0</v>
      </c>
      <c r="BX16" s="666">
        <v>0</v>
      </c>
      <c r="BY16" s="546">
        <f>ROUND(3.68*2.1*0,0)</f>
        <v>0</v>
      </c>
      <c r="BZ16" s="666">
        <v>3.1</v>
      </c>
      <c r="CA16" s="546">
        <f>ROUND(3.68*2.1*3.1,0)</f>
        <v>24</v>
      </c>
      <c r="CB16" s="666">
        <v>4.0999999999999996</v>
      </c>
      <c r="CC16" s="546">
        <f>ROUND(3.68*2.1*4.1,0)</f>
        <v>32</v>
      </c>
      <c r="CD16" s="666">
        <v>5</v>
      </c>
      <c r="CE16" s="546">
        <f>ROUND(3.68*2.1*5,0)</f>
        <v>39</v>
      </c>
      <c r="CF16" s="666">
        <v>5.4</v>
      </c>
      <c r="CG16" s="546">
        <f>ROUND(3.68*2.1*5.4,0)</f>
        <v>42</v>
      </c>
      <c r="CH16" s="666">
        <v>5.6</v>
      </c>
      <c r="CI16" s="546">
        <f>ROUND(3.68*2.1*5.6,0)</f>
        <v>43</v>
      </c>
      <c r="CJ16" s="666">
        <v>5.4</v>
      </c>
      <c r="CK16" s="546">
        <f>ROUND(3.68*2.1*5.4,0)</f>
        <v>42</v>
      </c>
      <c r="CL16" s="666">
        <v>4.9000000000000004</v>
      </c>
      <c r="CM16" s="546">
        <f>ROUND(3.68*2.1*4.9,0)</f>
        <v>38</v>
      </c>
      <c r="CN16" s="666">
        <v>4.5</v>
      </c>
      <c r="CO16" s="546">
        <f>ROUND(3.68*2.1*4.5,0)</f>
        <v>35</v>
      </c>
      <c r="CP16" s="666">
        <v>4</v>
      </c>
      <c r="CQ16" s="546">
        <f>ROUND(3.68*2.1*4,0)</f>
        <v>31</v>
      </c>
      <c r="CR16" s="666">
        <v>3.1</v>
      </c>
      <c r="CS16" s="546">
        <f>ROUND(3.68*2.1*3.1,0)</f>
        <v>24</v>
      </c>
      <c r="CT16" s="666">
        <v>0</v>
      </c>
      <c r="CU16" s="546">
        <f>ROUND(3.68*2.1*0,0)</f>
        <v>0</v>
      </c>
      <c r="CV16" s="666">
        <v>0</v>
      </c>
      <c r="CW16" s="546">
        <f>ROUND(3.68*2.1*0,0)</f>
        <v>0</v>
      </c>
      <c r="CX16" s="666">
        <v>0</v>
      </c>
      <c r="CY16" s="546">
        <f>ROUND(3.68*2.1*0,0)</f>
        <v>0</v>
      </c>
      <c r="CZ16" s="666">
        <v>0</v>
      </c>
      <c r="DA16" s="546">
        <f>ROUND(3.68*2.1*0,0)</f>
        <v>0</v>
      </c>
      <c r="DB16" s="666">
        <v>0</v>
      </c>
      <c r="DC16" s="546">
        <f>ROUND(3.68*2.1*0,0)</f>
        <v>0</v>
      </c>
      <c r="DD16" s="666">
        <v>0</v>
      </c>
      <c r="DE16" s="667">
        <f>ROUND(3.68*2.1*0,0)</f>
        <v>0</v>
      </c>
      <c r="DF16" s="549"/>
      <c r="DG16" s="539"/>
      <c r="DH16" s="541" t="s">
        <v>229</v>
      </c>
      <c r="DI16" s="662" t="s">
        <v>77</v>
      </c>
      <c r="DJ16" s="542">
        <v>3.68</v>
      </c>
      <c r="DK16" s="663" t="s">
        <v>325</v>
      </c>
      <c r="DL16" s="664"/>
      <c r="DM16" s="665">
        <v>0</v>
      </c>
      <c r="DN16" s="546">
        <f>ROUND(3.68*2.1*0,0)</f>
        <v>0</v>
      </c>
      <c r="DO16" s="666">
        <v>0</v>
      </c>
      <c r="DP16" s="546">
        <f>ROUND(3.68*2.1*0,0)</f>
        <v>0</v>
      </c>
      <c r="DQ16" s="666">
        <v>0</v>
      </c>
      <c r="DR16" s="546">
        <f>ROUND(3.68*2.1*0,0)</f>
        <v>0</v>
      </c>
      <c r="DS16" s="666">
        <v>0</v>
      </c>
      <c r="DT16" s="546">
        <f>ROUND(3.68*2.1*0,0)</f>
        <v>0</v>
      </c>
      <c r="DU16" s="666">
        <v>0</v>
      </c>
      <c r="DV16" s="546">
        <f>ROUND(3.68*2.1*0,0)</f>
        <v>0</v>
      </c>
      <c r="DW16" s="666">
        <v>0</v>
      </c>
      <c r="DX16" s="546">
        <f>ROUND(3.68*2.1*0,0)</f>
        <v>0</v>
      </c>
      <c r="DY16" s="666">
        <v>0</v>
      </c>
      <c r="DZ16" s="546">
        <f>ROUND(3.68*2.1*0,0)</f>
        <v>0</v>
      </c>
      <c r="EA16" s="666">
        <v>0</v>
      </c>
      <c r="EB16" s="546">
        <f>ROUND(3.68*2.1*0,0)</f>
        <v>0</v>
      </c>
      <c r="EC16" s="666">
        <v>0.80000000000000104</v>
      </c>
      <c r="ED16" s="546">
        <f>ROUND(3.68*2.1*0.800000000000001,0)</f>
        <v>6</v>
      </c>
      <c r="EE16" s="666">
        <v>2.1</v>
      </c>
      <c r="EF16" s="546">
        <f>ROUND(3.68*2.1*2.1,0)</f>
        <v>16</v>
      </c>
      <c r="EG16" s="666">
        <v>2.9</v>
      </c>
      <c r="EH16" s="546">
        <f>ROUND(3.68*2.1*2.9,0)</f>
        <v>22</v>
      </c>
      <c r="EI16" s="666">
        <v>3.6</v>
      </c>
      <c r="EJ16" s="546">
        <f>ROUND(3.68*2.1*3.6,0)</f>
        <v>28</v>
      </c>
      <c r="EK16" s="666">
        <v>3.8</v>
      </c>
      <c r="EL16" s="546">
        <f>ROUND(3.68*2.1*3.8,0)</f>
        <v>29</v>
      </c>
      <c r="EM16" s="666">
        <v>3.5</v>
      </c>
      <c r="EN16" s="546">
        <f>ROUND(3.68*2.1*3.5,0)</f>
        <v>27</v>
      </c>
      <c r="EO16" s="666">
        <v>3.1</v>
      </c>
      <c r="EP16" s="546">
        <f>ROUND(3.68*2.1*3.1,0)</f>
        <v>24</v>
      </c>
      <c r="EQ16" s="666">
        <v>2.7</v>
      </c>
      <c r="ER16" s="546">
        <f>ROUND(3.68*2.1*2.7,0)</f>
        <v>21</v>
      </c>
      <c r="ES16" s="666">
        <v>1.7</v>
      </c>
      <c r="ET16" s="546">
        <f>ROUND(3.68*2.1*1.7,0)</f>
        <v>13</v>
      </c>
      <c r="EU16" s="666">
        <v>0.69999999999999896</v>
      </c>
      <c r="EV16" s="546">
        <f>ROUND(3.68*2.1*0.699999999999999,0)</f>
        <v>5</v>
      </c>
      <c r="EW16" s="666">
        <v>0</v>
      </c>
      <c r="EX16" s="546">
        <f>ROUND(3.68*2.1*0,0)</f>
        <v>0</v>
      </c>
      <c r="EY16" s="666">
        <v>0</v>
      </c>
      <c r="EZ16" s="546">
        <f>ROUND(3.68*2.1*0,0)</f>
        <v>0</v>
      </c>
      <c r="FA16" s="666">
        <v>0</v>
      </c>
      <c r="FB16" s="546">
        <f>ROUND(3.68*2.1*0,0)</f>
        <v>0</v>
      </c>
      <c r="FC16" s="666">
        <v>0</v>
      </c>
      <c r="FD16" s="546">
        <f>ROUND(3.68*2.1*0,0)</f>
        <v>0</v>
      </c>
      <c r="FE16" s="666">
        <v>0</v>
      </c>
      <c r="FF16" s="546">
        <f>ROUND(3.68*2.1*0,0)</f>
        <v>0</v>
      </c>
      <c r="FG16" s="666">
        <v>0</v>
      </c>
      <c r="FH16" s="667">
        <f>ROUND(3.68*2.1*0,0)</f>
        <v>0</v>
      </c>
      <c r="FI16" s="550"/>
      <c r="FJ16" s="551"/>
      <c r="FK16" s="541" t="s">
        <v>229</v>
      </c>
      <c r="FL16" s="662" t="s">
        <v>77</v>
      </c>
      <c r="FM16" s="542">
        <v>3.68</v>
      </c>
      <c r="FN16" s="663" t="s">
        <v>325</v>
      </c>
      <c r="FO16" s="664"/>
      <c r="FP16" s="668">
        <v>9</v>
      </c>
      <c r="FQ16" s="669">
        <v>17</v>
      </c>
      <c r="FR16" s="546">
        <f>ROUND(3.68*2.1*17,0)</f>
        <v>131</v>
      </c>
      <c r="FS16" s="670">
        <v>9</v>
      </c>
      <c r="FT16" s="669">
        <v>17.5</v>
      </c>
      <c r="FU16" s="554">
        <f>ROUND(3.68*2.1*17.5,0)</f>
        <v>135</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77</v>
      </c>
      <c r="D17" s="570">
        <v>7.2</v>
      </c>
      <c r="E17" s="675">
        <v>0.9</v>
      </c>
      <c r="F17" s="676"/>
      <c r="G17" s="677">
        <v>0</v>
      </c>
      <c r="H17" s="574">
        <f>ROUND(7.2*0.9*0,0)</f>
        <v>0</v>
      </c>
      <c r="I17" s="678">
        <v>0</v>
      </c>
      <c r="J17" s="574">
        <f>ROUND(7.2*0.9*0,0)</f>
        <v>0</v>
      </c>
      <c r="K17" s="678">
        <v>0</v>
      </c>
      <c r="L17" s="574">
        <f>ROUND(7.2*0.9*0,0)</f>
        <v>0</v>
      </c>
      <c r="M17" s="678">
        <v>0</v>
      </c>
      <c r="N17" s="574">
        <f>ROUND(7.2*0.9*0,0)</f>
        <v>0</v>
      </c>
      <c r="O17" s="678">
        <v>0</v>
      </c>
      <c r="P17" s="574">
        <f>ROUND(7.2*0.9*0,0)</f>
        <v>0</v>
      </c>
      <c r="Q17" s="678">
        <v>0</v>
      </c>
      <c r="R17" s="574">
        <f>ROUND(7.2*0.9*0,0)</f>
        <v>0</v>
      </c>
      <c r="S17" s="678">
        <v>0</v>
      </c>
      <c r="T17" s="574">
        <f>ROUND(7.2*0.9*0,0)</f>
        <v>0</v>
      </c>
      <c r="U17" s="678">
        <v>0</v>
      </c>
      <c r="V17" s="574">
        <f>ROUND(7.2*0.9*0,0)</f>
        <v>0</v>
      </c>
      <c r="W17" s="678">
        <v>1.5</v>
      </c>
      <c r="X17" s="574">
        <f>ROUND(7.2*0.9*1.5,0)</f>
        <v>10</v>
      </c>
      <c r="Y17" s="678">
        <v>2.2999999999999998</v>
      </c>
      <c r="Z17" s="574">
        <f>ROUND(7.2*0.9*2.3,0)</f>
        <v>15</v>
      </c>
      <c r="AA17" s="678">
        <v>3.6</v>
      </c>
      <c r="AB17" s="574">
        <f>ROUND(7.2*0.9*3.6,0)</f>
        <v>23</v>
      </c>
      <c r="AC17" s="678">
        <v>5</v>
      </c>
      <c r="AD17" s="574">
        <f>ROUND(7.2*0.9*5,0)</f>
        <v>32</v>
      </c>
      <c r="AE17" s="678">
        <v>6.5</v>
      </c>
      <c r="AF17" s="574">
        <f>ROUND(7.2*0.9*6.5,0)</f>
        <v>42</v>
      </c>
      <c r="AG17" s="678">
        <v>7.8</v>
      </c>
      <c r="AH17" s="574">
        <f>ROUND(7.2*0.9*7.8,0)</f>
        <v>51</v>
      </c>
      <c r="AI17" s="678">
        <v>8.8000000000000007</v>
      </c>
      <c r="AJ17" s="574">
        <f>ROUND(7.2*0.9*8.8,0)</f>
        <v>57</v>
      </c>
      <c r="AK17" s="678">
        <v>9.3000000000000007</v>
      </c>
      <c r="AL17" s="574">
        <f>ROUND(7.2*0.9*9.3,0)</f>
        <v>60</v>
      </c>
      <c r="AM17" s="678">
        <v>9.3000000000000007</v>
      </c>
      <c r="AN17" s="574">
        <f>ROUND(7.2*0.9*9.3,0)</f>
        <v>60</v>
      </c>
      <c r="AO17" s="678">
        <v>9</v>
      </c>
      <c r="AP17" s="574">
        <f>ROUND(7.2*0.9*9,0)</f>
        <v>58</v>
      </c>
      <c r="AQ17" s="678">
        <v>0</v>
      </c>
      <c r="AR17" s="574">
        <f>ROUND(7.2*0.9*0,0)</f>
        <v>0</v>
      </c>
      <c r="AS17" s="678">
        <v>0</v>
      </c>
      <c r="AT17" s="574">
        <f>ROUND(7.2*0.9*0,0)</f>
        <v>0</v>
      </c>
      <c r="AU17" s="678">
        <v>0</v>
      </c>
      <c r="AV17" s="574">
        <f>ROUND(7.2*0.9*0,0)</f>
        <v>0</v>
      </c>
      <c r="AW17" s="678">
        <v>0</v>
      </c>
      <c r="AX17" s="574">
        <f>ROUND(7.2*0.9*0,0)</f>
        <v>0</v>
      </c>
      <c r="AY17" s="678">
        <v>0</v>
      </c>
      <c r="AZ17" s="574">
        <f>ROUND(7.2*0.9*0,0)</f>
        <v>0</v>
      </c>
      <c r="BA17" s="678">
        <v>0</v>
      </c>
      <c r="BB17" s="576">
        <f>ROUND(7.2*0.9*0,0)</f>
        <v>0</v>
      </c>
      <c r="BC17" s="549"/>
      <c r="BD17" s="539"/>
      <c r="BE17" s="569" t="s">
        <v>213</v>
      </c>
      <c r="BF17" s="674" t="s">
        <v>77</v>
      </c>
      <c r="BG17" s="570">
        <v>7.2</v>
      </c>
      <c r="BH17" s="675">
        <v>0.9</v>
      </c>
      <c r="BI17" s="676"/>
      <c r="BJ17" s="677">
        <v>0</v>
      </c>
      <c r="BK17" s="574">
        <f>ROUND(7.2*0.9*0,0)</f>
        <v>0</v>
      </c>
      <c r="BL17" s="678">
        <v>0</v>
      </c>
      <c r="BM17" s="574">
        <f>ROUND(7.2*0.9*0,0)</f>
        <v>0</v>
      </c>
      <c r="BN17" s="678">
        <v>0</v>
      </c>
      <c r="BO17" s="574">
        <f>ROUND(7.2*0.9*0,0)</f>
        <v>0</v>
      </c>
      <c r="BP17" s="678">
        <v>0</v>
      </c>
      <c r="BQ17" s="574">
        <f>ROUND(7.2*0.9*0,0)</f>
        <v>0</v>
      </c>
      <c r="BR17" s="678">
        <v>0</v>
      </c>
      <c r="BS17" s="574">
        <f>ROUND(7.2*0.9*0,0)</f>
        <v>0</v>
      </c>
      <c r="BT17" s="678">
        <v>0</v>
      </c>
      <c r="BU17" s="574">
        <f>ROUND(7.2*0.9*0,0)</f>
        <v>0</v>
      </c>
      <c r="BV17" s="678">
        <v>0</v>
      </c>
      <c r="BW17" s="574">
        <f>ROUND(7.2*0.9*0,0)</f>
        <v>0</v>
      </c>
      <c r="BX17" s="678">
        <v>0</v>
      </c>
      <c r="BY17" s="574">
        <f>ROUND(7.2*0.9*0,0)</f>
        <v>0</v>
      </c>
      <c r="BZ17" s="678">
        <v>0.9</v>
      </c>
      <c r="CA17" s="574">
        <f>ROUND(7.2*0.9*0.9,0)</f>
        <v>6</v>
      </c>
      <c r="CB17" s="678">
        <v>1.9</v>
      </c>
      <c r="CC17" s="574">
        <f>ROUND(7.2*0.9*1.9,0)</f>
        <v>12</v>
      </c>
      <c r="CD17" s="678">
        <v>3.4</v>
      </c>
      <c r="CE17" s="574">
        <f>ROUND(7.2*0.9*3.4,0)</f>
        <v>22</v>
      </c>
      <c r="CF17" s="678">
        <v>5.0999999999999996</v>
      </c>
      <c r="CG17" s="574">
        <f>ROUND(7.2*0.9*5.1,0)</f>
        <v>33</v>
      </c>
      <c r="CH17" s="678">
        <v>6.8</v>
      </c>
      <c r="CI17" s="574">
        <f>ROUND(7.2*0.9*6.8,0)</f>
        <v>44</v>
      </c>
      <c r="CJ17" s="678">
        <v>8.1999999999999993</v>
      </c>
      <c r="CK17" s="574">
        <f>ROUND(7.2*0.9*8.2,0)</f>
        <v>53</v>
      </c>
      <c r="CL17" s="678">
        <v>9.1999999999999993</v>
      </c>
      <c r="CM17" s="574">
        <f>ROUND(7.2*0.9*9.2,0)</f>
        <v>60</v>
      </c>
      <c r="CN17" s="678">
        <v>9.6</v>
      </c>
      <c r="CO17" s="574">
        <f>ROUND(7.2*0.9*9.6,0)</f>
        <v>62</v>
      </c>
      <c r="CP17" s="678">
        <v>9.5</v>
      </c>
      <c r="CQ17" s="574">
        <f>ROUND(7.2*0.9*9.5,0)</f>
        <v>62</v>
      </c>
      <c r="CR17" s="678">
        <v>9</v>
      </c>
      <c r="CS17" s="574">
        <f>ROUND(7.2*0.9*9,0)</f>
        <v>58</v>
      </c>
      <c r="CT17" s="678">
        <v>0</v>
      </c>
      <c r="CU17" s="574">
        <f>ROUND(7.2*0.9*0,0)</f>
        <v>0</v>
      </c>
      <c r="CV17" s="678">
        <v>0</v>
      </c>
      <c r="CW17" s="574">
        <f>ROUND(7.2*0.9*0,0)</f>
        <v>0</v>
      </c>
      <c r="CX17" s="678">
        <v>0</v>
      </c>
      <c r="CY17" s="574">
        <f>ROUND(7.2*0.9*0,0)</f>
        <v>0</v>
      </c>
      <c r="CZ17" s="678">
        <v>0</v>
      </c>
      <c r="DA17" s="574">
        <f>ROUND(7.2*0.9*0,0)</f>
        <v>0</v>
      </c>
      <c r="DB17" s="678">
        <v>0</v>
      </c>
      <c r="DC17" s="574">
        <f>ROUND(7.2*0.9*0,0)</f>
        <v>0</v>
      </c>
      <c r="DD17" s="678">
        <v>0</v>
      </c>
      <c r="DE17" s="576">
        <f>ROUND(7.2*0.9*0,0)</f>
        <v>0</v>
      </c>
      <c r="DF17" s="549"/>
      <c r="DG17" s="539"/>
      <c r="DH17" s="569" t="s">
        <v>213</v>
      </c>
      <c r="DI17" s="674" t="s">
        <v>77</v>
      </c>
      <c r="DJ17" s="570">
        <v>7.2</v>
      </c>
      <c r="DK17" s="675">
        <v>0.9</v>
      </c>
      <c r="DL17" s="676"/>
      <c r="DM17" s="677">
        <v>0</v>
      </c>
      <c r="DN17" s="574">
        <f>ROUND(7.2*0.9*0,0)</f>
        <v>0</v>
      </c>
      <c r="DO17" s="678">
        <v>0</v>
      </c>
      <c r="DP17" s="574">
        <f>ROUND(7.2*0.9*0,0)</f>
        <v>0</v>
      </c>
      <c r="DQ17" s="678">
        <v>0</v>
      </c>
      <c r="DR17" s="574">
        <f>ROUND(7.2*0.9*0,0)</f>
        <v>0</v>
      </c>
      <c r="DS17" s="678">
        <v>0</v>
      </c>
      <c r="DT17" s="574">
        <f>ROUND(7.2*0.9*0,0)</f>
        <v>0</v>
      </c>
      <c r="DU17" s="678">
        <v>0</v>
      </c>
      <c r="DV17" s="574">
        <f>ROUND(7.2*0.9*0,0)</f>
        <v>0</v>
      </c>
      <c r="DW17" s="678">
        <v>0</v>
      </c>
      <c r="DX17" s="574">
        <f>ROUND(7.2*0.9*0,0)</f>
        <v>0</v>
      </c>
      <c r="DY17" s="678">
        <v>0</v>
      </c>
      <c r="DZ17" s="574">
        <f>ROUND(7.2*0.9*0,0)</f>
        <v>0</v>
      </c>
      <c r="EA17" s="678">
        <v>0</v>
      </c>
      <c r="EB17" s="574">
        <f>ROUND(7.2*0.9*0,0)</f>
        <v>0</v>
      </c>
      <c r="EC17" s="678">
        <v>0</v>
      </c>
      <c r="ED17" s="574">
        <f>ROUND(7.2*0.9*0,0)</f>
        <v>0</v>
      </c>
      <c r="EE17" s="678">
        <v>1.4</v>
      </c>
      <c r="EF17" s="574">
        <f>ROUND(7.2*0.9*1.4,0)</f>
        <v>9</v>
      </c>
      <c r="EG17" s="678">
        <v>3.4</v>
      </c>
      <c r="EH17" s="574">
        <f>ROUND(7.2*0.9*3.4,0)</f>
        <v>22</v>
      </c>
      <c r="EI17" s="678">
        <v>5.7</v>
      </c>
      <c r="EJ17" s="574">
        <f>ROUND(7.2*0.9*5.7,0)</f>
        <v>37</v>
      </c>
      <c r="EK17" s="678">
        <v>8</v>
      </c>
      <c r="EL17" s="574">
        <f>ROUND(7.2*0.9*8,0)</f>
        <v>52</v>
      </c>
      <c r="EM17" s="678">
        <v>9.8000000000000007</v>
      </c>
      <c r="EN17" s="574">
        <f>ROUND(7.2*0.9*9.8,0)</f>
        <v>64</v>
      </c>
      <c r="EO17" s="678">
        <v>11.1</v>
      </c>
      <c r="EP17" s="574">
        <f>ROUND(7.2*0.9*11.1,0)</f>
        <v>72</v>
      </c>
      <c r="EQ17" s="678">
        <v>11.6</v>
      </c>
      <c r="ER17" s="574">
        <f>ROUND(7.2*0.9*11.6,0)</f>
        <v>75</v>
      </c>
      <c r="ES17" s="678">
        <v>11.3</v>
      </c>
      <c r="ET17" s="574">
        <f>ROUND(7.2*0.9*11.3,0)</f>
        <v>73</v>
      </c>
      <c r="EU17" s="678">
        <v>10.4</v>
      </c>
      <c r="EV17" s="574">
        <f>ROUND(7.2*0.9*10.4,0)</f>
        <v>67</v>
      </c>
      <c r="EW17" s="678">
        <v>0</v>
      </c>
      <c r="EX17" s="574">
        <f>ROUND(7.2*0.9*0,0)</f>
        <v>0</v>
      </c>
      <c r="EY17" s="678">
        <v>0</v>
      </c>
      <c r="EZ17" s="574">
        <f>ROUND(7.2*0.9*0,0)</f>
        <v>0</v>
      </c>
      <c r="FA17" s="678">
        <v>0</v>
      </c>
      <c r="FB17" s="574">
        <f>ROUND(7.2*0.9*0,0)</f>
        <v>0</v>
      </c>
      <c r="FC17" s="678">
        <v>0</v>
      </c>
      <c r="FD17" s="574">
        <f>ROUND(7.2*0.9*0,0)</f>
        <v>0</v>
      </c>
      <c r="FE17" s="678">
        <v>0</v>
      </c>
      <c r="FF17" s="574">
        <f>ROUND(7.2*0.9*0,0)</f>
        <v>0</v>
      </c>
      <c r="FG17" s="678">
        <v>0</v>
      </c>
      <c r="FH17" s="576">
        <f>ROUND(7.2*0.9*0,0)</f>
        <v>0</v>
      </c>
      <c r="FI17" s="550"/>
      <c r="FJ17" s="551"/>
      <c r="FK17" s="569" t="s">
        <v>213</v>
      </c>
      <c r="FL17" s="674" t="s">
        <v>77</v>
      </c>
      <c r="FM17" s="570">
        <v>7.2</v>
      </c>
      <c r="FN17" s="675">
        <v>0.9</v>
      </c>
      <c r="FO17" s="676"/>
      <c r="FP17" s="679">
        <v>9</v>
      </c>
      <c r="FQ17" s="680">
        <v>17</v>
      </c>
      <c r="FR17" s="574">
        <f>ROUND(7.2*0.9*17,0)</f>
        <v>110</v>
      </c>
      <c r="FS17" s="681">
        <v>9</v>
      </c>
      <c r="FT17" s="680">
        <v>17.5</v>
      </c>
      <c r="FU17" s="579">
        <f>ROUND(7.2*0.9*17.5,0)</f>
        <v>113</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t="s">
        <v>236</v>
      </c>
      <c r="C18" s="674"/>
      <c r="D18" s="570">
        <v>7.83</v>
      </c>
      <c r="E18" s="675">
        <v>2.9</v>
      </c>
      <c r="F18" s="676"/>
      <c r="G18" s="677">
        <v>0</v>
      </c>
      <c r="H18" s="574">
        <f>ROUND(7.83*2.9*0,0)</f>
        <v>0</v>
      </c>
      <c r="I18" s="678">
        <v>0</v>
      </c>
      <c r="J18" s="574">
        <f>ROUND(7.83*2.9*0,0)</f>
        <v>0</v>
      </c>
      <c r="K18" s="678">
        <v>0</v>
      </c>
      <c r="L18" s="574">
        <f>ROUND(7.83*2.9*0,0)</f>
        <v>0</v>
      </c>
      <c r="M18" s="678">
        <v>0</v>
      </c>
      <c r="N18" s="574">
        <f>ROUND(7.83*2.9*0,0)</f>
        <v>0</v>
      </c>
      <c r="O18" s="678">
        <v>0</v>
      </c>
      <c r="P18" s="574">
        <f>ROUND(7.83*2.9*0,0)</f>
        <v>0</v>
      </c>
      <c r="Q18" s="678">
        <v>0</v>
      </c>
      <c r="R18" s="574">
        <f>ROUND(7.83*2.9*0,0)</f>
        <v>0</v>
      </c>
      <c r="S18" s="678">
        <v>0</v>
      </c>
      <c r="T18" s="574">
        <f>ROUND(7.83*2.9*0,0)</f>
        <v>0</v>
      </c>
      <c r="U18" s="678">
        <v>0</v>
      </c>
      <c r="V18" s="574">
        <f>ROUND(7.83*2.9*0,0)</f>
        <v>0</v>
      </c>
      <c r="W18" s="678">
        <v>1</v>
      </c>
      <c r="X18" s="574">
        <f>ROUND(7.83*2.9*1,0)</f>
        <v>23</v>
      </c>
      <c r="Y18" s="678">
        <v>1.3</v>
      </c>
      <c r="Z18" s="574">
        <f>ROUND(7.83*2.9*1.3,0)</f>
        <v>30</v>
      </c>
      <c r="AA18" s="678">
        <v>1.6</v>
      </c>
      <c r="AB18" s="574">
        <f>ROUND(7.83*2.9*1.6,0)</f>
        <v>36</v>
      </c>
      <c r="AC18" s="678">
        <v>1.7</v>
      </c>
      <c r="AD18" s="574">
        <f>ROUND(7.83*2.9*1.7,0)</f>
        <v>39</v>
      </c>
      <c r="AE18" s="678">
        <v>1.8</v>
      </c>
      <c r="AF18" s="574">
        <f>ROUND(7.83*2.9*1.8,0)</f>
        <v>41</v>
      </c>
      <c r="AG18" s="678">
        <v>1.8</v>
      </c>
      <c r="AH18" s="574">
        <f>ROUND(7.83*2.9*1.8,0)</f>
        <v>41</v>
      </c>
      <c r="AI18" s="678">
        <v>1.6</v>
      </c>
      <c r="AJ18" s="574">
        <f>ROUND(7.83*2.9*1.6,0)</f>
        <v>36</v>
      </c>
      <c r="AK18" s="678">
        <v>1.5</v>
      </c>
      <c r="AL18" s="574">
        <f>ROUND(7.83*2.9*1.5,0)</f>
        <v>34</v>
      </c>
      <c r="AM18" s="678">
        <v>1.2</v>
      </c>
      <c r="AN18" s="574">
        <f>ROUND(7.83*2.9*1.2,0)</f>
        <v>27</v>
      </c>
      <c r="AO18" s="678">
        <v>1</v>
      </c>
      <c r="AP18" s="574">
        <f>ROUND(7.83*2.9*1,0)</f>
        <v>23</v>
      </c>
      <c r="AQ18" s="678">
        <v>0</v>
      </c>
      <c r="AR18" s="574">
        <f>ROUND(7.83*2.9*0,0)</f>
        <v>0</v>
      </c>
      <c r="AS18" s="678">
        <v>0</v>
      </c>
      <c r="AT18" s="574">
        <f>ROUND(7.83*2.9*0,0)</f>
        <v>0</v>
      </c>
      <c r="AU18" s="678">
        <v>0</v>
      </c>
      <c r="AV18" s="574">
        <f>ROUND(7.83*2.9*0,0)</f>
        <v>0</v>
      </c>
      <c r="AW18" s="678">
        <v>0</v>
      </c>
      <c r="AX18" s="574">
        <f>ROUND(7.83*2.9*0,0)</f>
        <v>0</v>
      </c>
      <c r="AY18" s="678">
        <v>0</v>
      </c>
      <c r="AZ18" s="574">
        <f>ROUND(7.83*2.9*0,0)</f>
        <v>0</v>
      </c>
      <c r="BA18" s="678">
        <v>0</v>
      </c>
      <c r="BB18" s="576">
        <f>ROUND(7.83*2.9*0,0)</f>
        <v>0</v>
      </c>
      <c r="BC18" s="549"/>
      <c r="BD18" s="539"/>
      <c r="BE18" s="683" t="s">
        <v>236</v>
      </c>
      <c r="BF18" s="674"/>
      <c r="BG18" s="570">
        <v>7.83</v>
      </c>
      <c r="BH18" s="675">
        <v>2.9</v>
      </c>
      <c r="BI18" s="676"/>
      <c r="BJ18" s="677">
        <v>0</v>
      </c>
      <c r="BK18" s="574">
        <f>ROUND(7.83*2.9*0,0)</f>
        <v>0</v>
      </c>
      <c r="BL18" s="678">
        <v>0</v>
      </c>
      <c r="BM18" s="574">
        <f>ROUND(7.83*2.9*0,0)</f>
        <v>0</v>
      </c>
      <c r="BN18" s="678">
        <v>0</v>
      </c>
      <c r="BO18" s="574">
        <f>ROUND(7.83*2.9*0,0)</f>
        <v>0</v>
      </c>
      <c r="BP18" s="678">
        <v>0</v>
      </c>
      <c r="BQ18" s="574">
        <f>ROUND(7.83*2.9*0,0)</f>
        <v>0</v>
      </c>
      <c r="BR18" s="678">
        <v>0</v>
      </c>
      <c r="BS18" s="574">
        <f>ROUND(7.83*2.9*0,0)</f>
        <v>0</v>
      </c>
      <c r="BT18" s="678">
        <v>0</v>
      </c>
      <c r="BU18" s="574">
        <f>ROUND(7.83*2.9*0,0)</f>
        <v>0</v>
      </c>
      <c r="BV18" s="678">
        <v>0</v>
      </c>
      <c r="BW18" s="574">
        <f>ROUND(7.83*2.9*0,0)</f>
        <v>0</v>
      </c>
      <c r="BX18" s="678">
        <v>0</v>
      </c>
      <c r="BY18" s="574">
        <f>ROUND(7.83*2.9*0,0)</f>
        <v>0</v>
      </c>
      <c r="BZ18" s="678">
        <v>0.9</v>
      </c>
      <c r="CA18" s="574">
        <f>ROUND(7.83*2.9*0.9,0)</f>
        <v>20</v>
      </c>
      <c r="CB18" s="678">
        <v>1.2</v>
      </c>
      <c r="CC18" s="574">
        <f>ROUND(7.83*2.9*1.2,0)</f>
        <v>27</v>
      </c>
      <c r="CD18" s="678">
        <v>1.5</v>
      </c>
      <c r="CE18" s="574">
        <f>ROUND(7.83*2.9*1.5,0)</f>
        <v>34</v>
      </c>
      <c r="CF18" s="678">
        <v>1.6</v>
      </c>
      <c r="CG18" s="574">
        <f>ROUND(7.83*2.9*1.6,0)</f>
        <v>36</v>
      </c>
      <c r="CH18" s="678">
        <v>1.7</v>
      </c>
      <c r="CI18" s="574">
        <f>ROUND(7.83*2.9*1.7,0)</f>
        <v>39</v>
      </c>
      <c r="CJ18" s="678">
        <v>1.6</v>
      </c>
      <c r="CK18" s="574">
        <f>ROUND(7.83*2.9*1.6,0)</f>
        <v>36</v>
      </c>
      <c r="CL18" s="678">
        <v>1.5</v>
      </c>
      <c r="CM18" s="574">
        <f>ROUND(7.83*2.9*1.5,0)</f>
        <v>34</v>
      </c>
      <c r="CN18" s="678">
        <v>1.3</v>
      </c>
      <c r="CO18" s="574">
        <f>ROUND(7.83*2.9*1.3,0)</f>
        <v>30</v>
      </c>
      <c r="CP18" s="678">
        <v>1.2</v>
      </c>
      <c r="CQ18" s="574">
        <f>ROUND(7.83*2.9*1.2,0)</f>
        <v>27</v>
      </c>
      <c r="CR18" s="678">
        <v>0.9</v>
      </c>
      <c r="CS18" s="574">
        <f>ROUND(7.83*2.9*0.9,0)</f>
        <v>20</v>
      </c>
      <c r="CT18" s="678">
        <v>0</v>
      </c>
      <c r="CU18" s="574">
        <f>ROUND(7.83*2.9*0,0)</f>
        <v>0</v>
      </c>
      <c r="CV18" s="678">
        <v>0</v>
      </c>
      <c r="CW18" s="574">
        <f>ROUND(7.83*2.9*0,0)</f>
        <v>0</v>
      </c>
      <c r="CX18" s="678">
        <v>0</v>
      </c>
      <c r="CY18" s="574">
        <f>ROUND(7.83*2.9*0,0)</f>
        <v>0</v>
      </c>
      <c r="CZ18" s="678">
        <v>0</v>
      </c>
      <c r="DA18" s="574">
        <f>ROUND(7.83*2.9*0,0)</f>
        <v>0</v>
      </c>
      <c r="DB18" s="678">
        <v>0</v>
      </c>
      <c r="DC18" s="574">
        <f>ROUND(7.83*2.9*0,0)</f>
        <v>0</v>
      </c>
      <c r="DD18" s="678">
        <v>0</v>
      </c>
      <c r="DE18" s="576">
        <f>ROUND(7.83*2.9*0,0)</f>
        <v>0</v>
      </c>
      <c r="DF18" s="549"/>
      <c r="DG18" s="539"/>
      <c r="DH18" s="683" t="s">
        <v>236</v>
      </c>
      <c r="DI18" s="674"/>
      <c r="DJ18" s="570">
        <v>7.83</v>
      </c>
      <c r="DK18" s="675">
        <v>2.9</v>
      </c>
      <c r="DL18" s="676"/>
      <c r="DM18" s="677">
        <v>0</v>
      </c>
      <c r="DN18" s="574">
        <f>ROUND(7.83*2.9*0,0)</f>
        <v>0</v>
      </c>
      <c r="DO18" s="678">
        <v>0</v>
      </c>
      <c r="DP18" s="574">
        <f>ROUND(7.83*2.9*0,0)</f>
        <v>0</v>
      </c>
      <c r="DQ18" s="678">
        <v>0</v>
      </c>
      <c r="DR18" s="574">
        <f>ROUND(7.83*2.9*0,0)</f>
        <v>0</v>
      </c>
      <c r="DS18" s="678">
        <v>0</v>
      </c>
      <c r="DT18" s="574">
        <f>ROUND(7.83*2.9*0,0)</f>
        <v>0</v>
      </c>
      <c r="DU18" s="678">
        <v>0</v>
      </c>
      <c r="DV18" s="574">
        <f>ROUND(7.83*2.9*0,0)</f>
        <v>0</v>
      </c>
      <c r="DW18" s="678">
        <v>0</v>
      </c>
      <c r="DX18" s="574">
        <f>ROUND(7.83*2.9*0,0)</f>
        <v>0</v>
      </c>
      <c r="DY18" s="678">
        <v>0</v>
      </c>
      <c r="DZ18" s="574">
        <f>ROUND(7.83*2.9*0,0)</f>
        <v>0</v>
      </c>
      <c r="EA18" s="678">
        <v>0</v>
      </c>
      <c r="EB18" s="574">
        <f>ROUND(7.83*2.9*0,0)</f>
        <v>0</v>
      </c>
      <c r="EC18" s="678">
        <v>0.2</v>
      </c>
      <c r="ED18" s="574">
        <f>ROUND(7.83*2.9*0.2,0)</f>
        <v>5</v>
      </c>
      <c r="EE18" s="678">
        <v>0.6</v>
      </c>
      <c r="EF18" s="574">
        <f>ROUND(7.83*2.9*0.6,0)</f>
        <v>14</v>
      </c>
      <c r="EG18" s="678">
        <v>0.9</v>
      </c>
      <c r="EH18" s="574">
        <f>ROUND(7.83*2.9*0.9,0)</f>
        <v>20</v>
      </c>
      <c r="EI18" s="678">
        <v>1.1000000000000001</v>
      </c>
      <c r="EJ18" s="574">
        <f>ROUND(7.83*2.9*1.1,0)</f>
        <v>25</v>
      </c>
      <c r="EK18" s="678">
        <v>1.1000000000000001</v>
      </c>
      <c r="EL18" s="574">
        <f>ROUND(7.83*2.9*1.1,0)</f>
        <v>25</v>
      </c>
      <c r="EM18" s="678">
        <v>1</v>
      </c>
      <c r="EN18" s="574">
        <f>ROUND(7.83*2.9*1,0)</f>
        <v>23</v>
      </c>
      <c r="EO18" s="678">
        <v>0.9</v>
      </c>
      <c r="EP18" s="574">
        <f>ROUND(7.83*2.9*0.9,0)</f>
        <v>20</v>
      </c>
      <c r="EQ18" s="678">
        <v>0.8</v>
      </c>
      <c r="ER18" s="574">
        <f>ROUND(7.83*2.9*0.8,0)</f>
        <v>18</v>
      </c>
      <c r="ES18" s="678">
        <v>0.5</v>
      </c>
      <c r="ET18" s="574">
        <f>ROUND(7.83*2.9*0.5,0)</f>
        <v>11</v>
      </c>
      <c r="EU18" s="678">
        <v>0.2</v>
      </c>
      <c r="EV18" s="574">
        <f>ROUND(7.83*2.9*0.2,0)</f>
        <v>5</v>
      </c>
      <c r="EW18" s="678">
        <v>0</v>
      </c>
      <c r="EX18" s="574">
        <f>ROUND(7.83*2.9*0,0)</f>
        <v>0</v>
      </c>
      <c r="EY18" s="678">
        <v>0</v>
      </c>
      <c r="EZ18" s="574">
        <f>ROUND(7.83*2.9*0,0)</f>
        <v>0</v>
      </c>
      <c r="FA18" s="678">
        <v>0</v>
      </c>
      <c r="FB18" s="574">
        <f>ROUND(7.83*2.9*0,0)</f>
        <v>0</v>
      </c>
      <c r="FC18" s="678">
        <v>0</v>
      </c>
      <c r="FD18" s="574">
        <f>ROUND(7.83*2.9*0,0)</f>
        <v>0</v>
      </c>
      <c r="FE18" s="678">
        <v>0</v>
      </c>
      <c r="FF18" s="574">
        <f>ROUND(7.83*2.9*0,0)</f>
        <v>0</v>
      </c>
      <c r="FG18" s="678">
        <v>0</v>
      </c>
      <c r="FH18" s="576">
        <f>ROUND(7.83*2.9*0,0)</f>
        <v>0</v>
      </c>
      <c r="FI18" s="550"/>
      <c r="FJ18" s="551"/>
      <c r="FK18" s="683" t="s">
        <v>236</v>
      </c>
      <c r="FL18" s="674"/>
      <c r="FM18" s="570">
        <v>7.83</v>
      </c>
      <c r="FN18" s="675">
        <v>2.9</v>
      </c>
      <c r="FO18" s="676"/>
      <c r="FP18" s="679">
        <v>9</v>
      </c>
      <c r="FQ18" s="680">
        <v>5.0999999999999996</v>
      </c>
      <c r="FR18" s="574">
        <f>ROUND(7.83*2.9*5.1,0)</f>
        <v>116</v>
      </c>
      <c r="FS18" s="681">
        <v>9</v>
      </c>
      <c r="FT18" s="680">
        <v>5.2</v>
      </c>
      <c r="FU18" s="579">
        <f>ROUND(7.83*2.9*5.2,0)</f>
        <v>118</v>
      </c>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c r="C19" s="674"/>
      <c r="D19" s="570"/>
      <c r="E19" s="675"/>
      <c r="F19" s="676"/>
      <c r="G19" s="677"/>
      <c r="H19" s="574"/>
      <c r="I19" s="678"/>
      <c r="J19" s="574"/>
      <c r="K19" s="678"/>
      <c r="L19" s="574"/>
      <c r="M19" s="678"/>
      <c r="N19" s="574"/>
      <c r="O19" s="678"/>
      <c r="P19" s="574"/>
      <c r="Q19" s="678"/>
      <c r="R19" s="574"/>
      <c r="S19" s="678"/>
      <c r="T19" s="574"/>
      <c r="U19" s="678"/>
      <c r="V19" s="574"/>
      <c r="W19" s="678"/>
      <c r="X19" s="574"/>
      <c r="Y19" s="678"/>
      <c r="Z19" s="574"/>
      <c r="AA19" s="678"/>
      <c r="AB19" s="574"/>
      <c r="AC19" s="678"/>
      <c r="AD19" s="574"/>
      <c r="AE19" s="678"/>
      <c r="AF19" s="574"/>
      <c r="AG19" s="678"/>
      <c r="AH19" s="574"/>
      <c r="AI19" s="678"/>
      <c r="AJ19" s="574"/>
      <c r="AK19" s="678"/>
      <c r="AL19" s="574"/>
      <c r="AM19" s="678"/>
      <c r="AN19" s="574"/>
      <c r="AO19" s="678"/>
      <c r="AP19" s="574"/>
      <c r="AQ19" s="678"/>
      <c r="AR19" s="574"/>
      <c r="AS19" s="678"/>
      <c r="AT19" s="574"/>
      <c r="AU19" s="678"/>
      <c r="AV19" s="574"/>
      <c r="AW19" s="678"/>
      <c r="AX19" s="574"/>
      <c r="AY19" s="678"/>
      <c r="AZ19" s="574"/>
      <c r="BA19" s="678"/>
      <c r="BB19" s="576"/>
      <c r="BC19" s="549"/>
      <c r="BD19" s="539"/>
      <c r="BE19" s="683"/>
      <c r="BF19" s="674"/>
      <c r="BG19" s="570"/>
      <c r="BH19" s="675"/>
      <c r="BI19" s="676"/>
      <c r="BJ19" s="677"/>
      <c r="BK19" s="574"/>
      <c r="BL19" s="678"/>
      <c r="BM19" s="574"/>
      <c r="BN19" s="678"/>
      <c r="BO19" s="574"/>
      <c r="BP19" s="678"/>
      <c r="BQ19" s="574"/>
      <c r="BR19" s="678"/>
      <c r="BS19" s="574"/>
      <c r="BT19" s="678"/>
      <c r="BU19" s="574"/>
      <c r="BV19" s="678"/>
      <c r="BW19" s="574"/>
      <c r="BX19" s="678"/>
      <c r="BY19" s="574"/>
      <c r="BZ19" s="678"/>
      <c r="CA19" s="574"/>
      <c r="CB19" s="678"/>
      <c r="CC19" s="574"/>
      <c r="CD19" s="678"/>
      <c r="CE19" s="574"/>
      <c r="CF19" s="678"/>
      <c r="CG19" s="574"/>
      <c r="CH19" s="678"/>
      <c r="CI19" s="574"/>
      <c r="CJ19" s="678"/>
      <c r="CK19" s="574"/>
      <c r="CL19" s="678"/>
      <c r="CM19" s="574"/>
      <c r="CN19" s="678"/>
      <c r="CO19" s="574"/>
      <c r="CP19" s="678"/>
      <c r="CQ19" s="574"/>
      <c r="CR19" s="678"/>
      <c r="CS19" s="574"/>
      <c r="CT19" s="678"/>
      <c r="CU19" s="574"/>
      <c r="CV19" s="678"/>
      <c r="CW19" s="574"/>
      <c r="CX19" s="678"/>
      <c r="CY19" s="574"/>
      <c r="CZ19" s="678"/>
      <c r="DA19" s="574"/>
      <c r="DB19" s="678"/>
      <c r="DC19" s="574"/>
      <c r="DD19" s="678"/>
      <c r="DE19" s="576"/>
      <c r="DF19" s="549"/>
      <c r="DG19" s="539"/>
      <c r="DH19" s="683"/>
      <c r="DI19" s="674"/>
      <c r="DJ19" s="570"/>
      <c r="DK19" s="675"/>
      <c r="DL19" s="676"/>
      <c r="DM19" s="677"/>
      <c r="DN19" s="574"/>
      <c r="DO19" s="678"/>
      <c r="DP19" s="574"/>
      <c r="DQ19" s="678"/>
      <c r="DR19" s="574"/>
      <c r="DS19" s="678"/>
      <c r="DT19" s="574"/>
      <c r="DU19" s="678"/>
      <c r="DV19" s="574"/>
      <c r="DW19" s="678"/>
      <c r="DX19" s="574"/>
      <c r="DY19" s="678"/>
      <c r="DZ19" s="574"/>
      <c r="EA19" s="678"/>
      <c r="EB19" s="574"/>
      <c r="EC19" s="678"/>
      <c r="ED19" s="574"/>
      <c r="EE19" s="678"/>
      <c r="EF19" s="574"/>
      <c r="EG19" s="678"/>
      <c r="EH19" s="574"/>
      <c r="EI19" s="678"/>
      <c r="EJ19" s="574"/>
      <c r="EK19" s="678"/>
      <c r="EL19" s="574"/>
      <c r="EM19" s="678"/>
      <c r="EN19" s="574"/>
      <c r="EO19" s="678"/>
      <c r="EP19" s="574"/>
      <c r="EQ19" s="678"/>
      <c r="ER19" s="574"/>
      <c r="ES19" s="678"/>
      <c r="ET19" s="574"/>
      <c r="EU19" s="678"/>
      <c r="EV19" s="574"/>
      <c r="EW19" s="678"/>
      <c r="EX19" s="574"/>
      <c r="EY19" s="678"/>
      <c r="EZ19" s="574"/>
      <c r="FA19" s="678"/>
      <c r="FB19" s="574"/>
      <c r="FC19" s="678"/>
      <c r="FD19" s="574"/>
      <c r="FE19" s="678"/>
      <c r="FF19" s="574"/>
      <c r="FG19" s="678"/>
      <c r="FH19" s="576"/>
      <c r="FI19" s="550"/>
      <c r="FJ19" s="551"/>
      <c r="FK19" s="683"/>
      <c r="FL19" s="674"/>
      <c r="FM19" s="570"/>
      <c r="FN19" s="675"/>
      <c r="FO19" s="676"/>
      <c r="FP19" s="679"/>
      <c r="FQ19" s="680"/>
      <c r="FR19" s="574"/>
      <c r="FS19" s="681"/>
      <c r="FT19" s="680"/>
      <c r="FU19" s="579"/>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3.68</v>
      </c>
      <c r="GO21" s="687"/>
      <c r="GP21" s="688"/>
      <c r="GQ21" s="620">
        <v>0</v>
      </c>
      <c r="GR21" s="621">
        <v>3.68</v>
      </c>
      <c r="GS21" s="565"/>
      <c r="GT21" s="660"/>
      <c r="GU21" s="684" t="s">
        <v>433</v>
      </c>
      <c r="GV21" s="685"/>
      <c r="GW21" s="686"/>
      <c r="GX21" s="689">
        <v>3.68</v>
      </c>
      <c r="GY21" s="690"/>
      <c r="GZ21" s="687"/>
      <c r="HA21" s="691">
        <v>2.39</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0.65</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16.53</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0.22</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561</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59</v>
      </c>
      <c r="Y26" s="1271"/>
      <c r="Z26" s="1264">
        <f>SUM(Z16:Z25)</f>
        <v>80</v>
      </c>
      <c r="AA26" s="1271"/>
      <c r="AB26" s="1264">
        <f>SUM(AB16:AB25)</f>
        <v>99</v>
      </c>
      <c r="AC26" s="1271"/>
      <c r="AD26" s="1264">
        <f>SUM(AD16:AD25)</f>
        <v>115</v>
      </c>
      <c r="AE26" s="1271"/>
      <c r="AF26" s="1264">
        <f>SUM(AF16:AF25)</f>
        <v>129</v>
      </c>
      <c r="AG26" s="1271"/>
      <c r="AH26" s="1264">
        <f>SUM(AH16:AH25)</f>
        <v>138</v>
      </c>
      <c r="AI26" s="1271"/>
      <c r="AJ26" s="1264">
        <f>SUM(AJ16:AJ25)</f>
        <v>135</v>
      </c>
      <c r="AK26" s="1271"/>
      <c r="AL26" s="1264">
        <f>SUM(AL16:AL25)</f>
        <v>132</v>
      </c>
      <c r="AM26" s="1271"/>
      <c r="AN26" s="1264">
        <f>SUM(AN16:AN25)</f>
        <v>118</v>
      </c>
      <c r="AO26" s="1271"/>
      <c r="AP26" s="1264">
        <f>SUM(AP16:AP25)</f>
        <v>107</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561</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50</v>
      </c>
      <c r="CB26" s="1271"/>
      <c r="CC26" s="1264">
        <f>SUM(CC16:CC25)</f>
        <v>71</v>
      </c>
      <c r="CD26" s="1271"/>
      <c r="CE26" s="1264">
        <f>SUM(CE16:CE25)</f>
        <v>95</v>
      </c>
      <c r="CF26" s="1271"/>
      <c r="CG26" s="1264">
        <f>SUM(CG16:CG25)</f>
        <v>111</v>
      </c>
      <c r="CH26" s="1271"/>
      <c r="CI26" s="1264">
        <f>SUM(CI16:CI25)</f>
        <v>126</v>
      </c>
      <c r="CJ26" s="1271"/>
      <c r="CK26" s="1264">
        <f>SUM(CK16:CK25)</f>
        <v>131</v>
      </c>
      <c r="CL26" s="1271"/>
      <c r="CM26" s="1264">
        <f>SUM(CM16:CM25)</f>
        <v>132</v>
      </c>
      <c r="CN26" s="1271"/>
      <c r="CO26" s="1264">
        <f>SUM(CO16:CO25)</f>
        <v>127</v>
      </c>
      <c r="CP26" s="1271"/>
      <c r="CQ26" s="1264">
        <f>SUM(CQ16:CQ25)</f>
        <v>120</v>
      </c>
      <c r="CR26" s="1271"/>
      <c r="CS26" s="1264">
        <f>SUM(CS16:CS25)</f>
        <v>102</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561</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11</v>
      </c>
      <c r="EE26" s="1271"/>
      <c r="EF26" s="1264">
        <f>SUM(EF16:EF25)</f>
        <v>39</v>
      </c>
      <c r="EG26" s="1271"/>
      <c r="EH26" s="1264">
        <f>SUM(EH16:EH25)</f>
        <v>64</v>
      </c>
      <c r="EI26" s="1271"/>
      <c r="EJ26" s="1264">
        <f>SUM(EJ16:EJ25)</f>
        <v>90</v>
      </c>
      <c r="EK26" s="1271"/>
      <c r="EL26" s="1264">
        <f>SUM(EL16:EL25)</f>
        <v>106</v>
      </c>
      <c r="EM26" s="1271"/>
      <c r="EN26" s="1264">
        <f>SUM(EN16:EN25)</f>
        <v>114</v>
      </c>
      <c r="EO26" s="1271"/>
      <c r="EP26" s="1264">
        <f>SUM(EP16:EP25)</f>
        <v>116</v>
      </c>
      <c r="EQ26" s="1271"/>
      <c r="ER26" s="1264">
        <f>SUM(ER16:ER25)</f>
        <v>114</v>
      </c>
      <c r="ES26" s="1271"/>
      <c r="ET26" s="1264">
        <f>SUM(ET16:ET25)</f>
        <v>97</v>
      </c>
      <c r="EU26" s="1271"/>
      <c r="EV26" s="1264">
        <f>SUM(EV16:EV25)</f>
        <v>77</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561</v>
      </c>
      <c r="FN26" s="629"/>
      <c r="FO26" s="629"/>
      <c r="FP26" s="1267"/>
      <c r="FQ26" s="638"/>
      <c r="FR26" s="1264">
        <f>SUM(FR16:FR25)</f>
        <v>357</v>
      </c>
      <c r="FS26" s="1272"/>
      <c r="FT26" s="638"/>
      <c r="FU26" s="1269">
        <f>SUM(FU16:FU25)</f>
        <v>366</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0.65</v>
      </c>
      <c r="GZ26" s="567"/>
      <c r="HA26" s="517"/>
      <c r="HB26" s="517"/>
      <c r="HC26" s="517"/>
      <c r="HD26" s="635"/>
      <c r="HE26" s="406"/>
      <c r="HF26" s="406"/>
      <c r="HG26" s="567"/>
      <c r="HH26" s="635"/>
      <c r="HI26" s="406"/>
      <c r="HJ26" s="406"/>
    </row>
    <row r="27" spans="1:218" ht="20.100000000000001" customHeight="1">
      <c r="A27" s="1273" t="s">
        <v>369</v>
      </c>
      <c r="B27" s="721"/>
      <c r="C27" s="722"/>
      <c r="D27" s="650"/>
      <c r="E27" s="722"/>
      <c r="F27" s="722"/>
      <c r="G27" s="723" t="s">
        <v>367</v>
      </c>
      <c r="H27" s="650" t="s">
        <v>569</v>
      </c>
      <c r="I27" s="724" t="s">
        <v>367</v>
      </c>
      <c r="J27" s="650" t="s">
        <v>368</v>
      </c>
      <c r="K27" s="725" t="s">
        <v>367</v>
      </c>
      <c r="L27" s="650" t="s">
        <v>368</v>
      </c>
      <c r="M27" s="725" t="s">
        <v>367</v>
      </c>
      <c r="N27" s="650" t="s">
        <v>368</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7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7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v>55</v>
      </c>
      <c r="E28" s="738">
        <v>2</v>
      </c>
      <c r="F28" s="739" t="s">
        <v>373</v>
      </c>
      <c r="G28" s="740"/>
      <c r="H28" s="546"/>
      <c r="I28" s="741"/>
      <c r="J28" s="546"/>
      <c r="K28" s="741"/>
      <c r="L28" s="546"/>
      <c r="M28" s="741"/>
      <c r="N28" s="546"/>
      <c r="O28" s="741"/>
      <c r="P28" s="546"/>
      <c r="Q28" s="741"/>
      <c r="R28" s="546"/>
      <c r="S28" s="741"/>
      <c r="T28" s="546"/>
      <c r="U28" s="741"/>
      <c r="V28" s="546"/>
      <c r="W28" s="741">
        <v>1</v>
      </c>
      <c r="X28" s="546">
        <v>110</v>
      </c>
      <c r="Y28" s="741">
        <v>1</v>
      </c>
      <c r="Z28" s="546">
        <v>110</v>
      </c>
      <c r="AA28" s="741">
        <v>1</v>
      </c>
      <c r="AB28" s="546">
        <v>110</v>
      </c>
      <c r="AC28" s="741">
        <v>1</v>
      </c>
      <c r="AD28" s="546">
        <v>110</v>
      </c>
      <c r="AE28" s="741">
        <v>1</v>
      </c>
      <c r="AF28" s="546">
        <v>110</v>
      </c>
      <c r="AG28" s="741">
        <v>1</v>
      </c>
      <c r="AH28" s="546">
        <v>110</v>
      </c>
      <c r="AI28" s="741">
        <v>1</v>
      </c>
      <c r="AJ28" s="546">
        <v>110</v>
      </c>
      <c r="AK28" s="741">
        <v>1</v>
      </c>
      <c r="AL28" s="546">
        <v>110</v>
      </c>
      <c r="AM28" s="741">
        <v>1</v>
      </c>
      <c r="AN28" s="546">
        <v>110</v>
      </c>
      <c r="AO28" s="741">
        <v>1</v>
      </c>
      <c r="AP28" s="546">
        <v>110</v>
      </c>
      <c r="AQ28" s="741"/>
      <c r="AR28" s="546"/>
      <c r="AS28" s="741"/>
      <c r="AT28" s="546"/>
      <c r="AU28" s="741"/>
      <c r="AV28" s="546"/>
      <c r="AW28" s="741"/>
      <c r="AX28" s="546"/>
      <c r="AY28" s="741"/>
      <c r="AZ28" s="546"/>
      <c r="BA28" s="741"/>
      <c r="BB28" s="667"/>
      <c r="BC28" s="549"/>
      <c r="BD28" s="539"/>
      <c r="BE28" s="735" t="s">
        <v>372</v>
      </c>
      <c r="BF28" s="736"/>
      <c r="BG28" s="737">
        <v>55</v>
      </c>
      <c r="BH28" s="738">
        <v>2</v>
      </c>
      <c r="BI28" s="739" t="s">
        <v>373</v>
      </c>
      <c r="BJ28" s="740"/>
      <c r="BK28" s="546"/>
      <c r="BL28" s="741"/>
      <c r="BM28" s="546"/>
      <c r="BN28" s="741"/>
      <c r="BO28" s="546"/>
      <c r="BP28" s="741"/>
      <c r="BQ28" s="546"/>
      <c r="BR28" s="741"/>
      <c r="BS28" s="546"/>
      <c r="BT28" s="741"/>
      <c r="BU28" s="546"/>
      <c r="BV28" s="741"/>
      <c r="BW28" s="546"/>
      <c r="BX28" s="741"/>
      <c r="BY28" s="546"/>
      <c r="BZ28" s="741">
        <v>1</v>
      </c>
      <c r="CA28" s="546">
        <v>110</v>
      </c>
      <c r="CB28" s="741">
        <v>1</v>
      </c>
      <c r="CC28" s="546">
        <v>110</v>
      </c>
      <c r="CD28" s="741">
        <v>1</v>
      </c>
      <c r="CE28" s="546">
        <v>110</v>
      </c>
      <c r="CF28" s="741">
        <v>1</v>
      </c>
      <c r="CG28" s="546">
        <v>110</v>
      </c>
      <c r="CH28" s="741">
        <v>1</v>
      </c>
      <c r="CI28" s="546">
        <v>110</v>
      </c>
      <c r="CJ28" s="741">
        <v>1</v>
      </c>
      <c r="CK28" s="546">
        <v>110</v>
      </c>
      <c r="CL28" s="741">
        <v>1</v>
      </c>
      <c r="CM28" s="546">
        <v>110</v>
      </c>
      <c r="CN28" s="741">
        <v>1</v>
      </c>
      <c r="CO28" s="546">
        <v>110</v>
      </c>
      <c r="CP28" s="741">
        <v>1</v>
      </c>
      <c r="CQ28" s="546">
        <v>110</v>
      </c>
      <c r="CR28" s="741">
        <v>1</v>
      </c>
      <c r="CS28" s="546">
        <v>110</v>
      </c>
      <c r="CT28" s="741"/>
      <c r="CU28" s="546"/>
      <c r="CV28" s="741"/>
      <c r="CW28" s="546"/>
      <c r="CX28" s="741"/>
      <c r="CY28" s="546"/>
      <c r="CZ28" s="741"/>
      <c r="DA28" s="546"/>
      <c r="DB28" s="741"/>
      <c r="DC28" s="546"/>
      <c r="DD28" s="741"/>
      <c r="DE28" s="667"/>
      <c r="DF28" s="549"/>
      <c r="DG28" s="539"/>
      <c r="DH28" s="735" t="s">
        <v>372</v>
      </c>
      <c r="DI28" s="736"/>
      <c r="DJ28" s="737">
        <v>55</v>
      </c>
      <c r="DK28" s="738">
        <v>2</v>
      </c>
      <c r="DL28" s="739" t="s">
        <v>373</v>
      </c>
      <c r="DM28" s="740"/>
      <c r="DN28" s="546"/>
      <c r="DO28" s="741"/>
      <c r="DP28" s="546"/>
      <c r="DQ28" s="741"/>
      <c r="DR28" s="546"/>
      <c r="DS28" s="741"/>
      <c r="DT28" s="546"/>
      <c r="DU28" s="741"/>
      <c r="DV28" s="546"/>
      <c r="DW28" s="741"/>
      <c r="DX28" s="546"/>
      <c r="DY28" s="741"/>
      <c r="DZ28" s="546"/>
      <c r="EA28" s="741"/>
      <c r="EB28" s="546"/>
      <c r="EC28" s="741">
        <v>1</v>
      </c>
      <c r="ED28" s="546">
        <v>110</v>
      </c>
      <c r="EE28" s="741">
        <v>1</v>
      </c>
      <c r="EF28" s="546">
        <v>110</v>
      </c>
      <c r="EG28" s="741">
        <v>1</v>
      </c>
      <c r="EH28" s="546">
        <v>110</v>
      </c>
      <c r="EI28" s="741">
        <v>1</v>
      </c>
      <c r="EJ28" s="546">
        <v>110</v>
      </c>
      <c r="EK28" s="741">
        <v>1</v>
      </c>
      <c r="EL28" s="546">
        <v>110</v>
      </c>
      <c r="EM28" s="741">
        <v>1</v>
      </c>
      <c r="EN28" s="546">
        <v>110</v>
      </c>
      <c r="EO28" s="741">
        <v>1</v>
      </c>
      <c r="EP28" s="546">
        <v>110</v>
      </c>
      <c r="EQ28" s="741">
        <v>1</v>
      </c>
      <c r="ER28" s="546">
        <v>110</v>
      </c>
      <c r="ES28" s="741">
        <v>1</v>
      </c>
      <c r="ET28" s="546">
        <v>110</v>
      </c>
      <c r="EU28" s="741">
        <v>1</v>
      </c>
      <c r="EV28" s="546">
        <v>110</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11</v>
      </c>
      <c r="E29" s="750">
        <v>16.53</v>
      </c>
      <c r="F29" s="751" t="s">
        <v>373</v>
      </c>
      <c r="G29" s="752"/>
      <c r="H29" s="574"/>
      <c r="I29" s="753"/>
      <c r="J29" s="574"/>
      <c r="K29" s="753"/>
      <c r="L29" s="574"/>
      <c r="M29" s="753"/>
      <c r="N29" s="574"/>
      <c r="O29" s="753"/>
      <c r="P29" s="574"/>
      <c r="Q29" s="753"/>
      <c r="R29" s="574"/>
      <c r="S29" s="753"/>
      <c r="T29" s="574"/>
      <c r="U29" s="753"/>
      <c r="V29" s="574"/>
      <c r="W29" s="753">
        <v>1</v>
      </c>
      <c r="X29" s="574">
        <v>182</v>
      </c>
      <c r="Y29" s="753">
        <v>1</v>
      </c>
      <c r="Z29" s="574">
        <v>182</v>
      </c>
      <c r="AA29" s="753">
        <v>1</v>
      </c>
      <c r="AB29" s="574">
        <v>182</v>
      </c>
      <c r="AC29" s="753">
        <v>1</v>
      </c>
      <c r="AD29" s="574">
        <v>182</v>
      </c>
      <c r="AE29" s="753">
        <v>1</v>
      </c>
      <c r="AF29" s="574">
        <v>182</v>
      </c>
      <c r="AG29" s="753">
        <v>1</v>
      </c>
      <c r="AH29" s="574">
        <v>182</v>
      </c>
      <c r="AI29" s="753">
        <v>1</v>
      </c>
      <c r="AJ29" s="574">
        <v>182</v>
      </c>
      <c r="AK29" s="753">
        <v>1</v>
      </c>
      <c r="AL29" s="574">
        <v>182</v>
      </c>
      <c r="AM29" s="753">
        <v>1</v>
      </c>
      <c r="AN29" s="574">
        <v>182</v>
      </c>
      <c r="AO29" s="753">
        <v>1</v>
      </c>
      <c r="AP29" s="574">
        <v>182</v>
      </c>
      <c r="AQ29" s="753"/>
      <c r="AR29" s="574"/>
      <c r="AS29" s="753"/>
      <c r="AT29" s="574"/>
      <c r="AU29" s="753"/>
      <c r="AV29" s="574"/>
      <c r="AW29" s="753"/>
      <c r="AX29" s="574"/>
      <c r="AY29" s="753"/>
      <c r="AZ29" s="574"/>
      <c r="BA29" s="753"/>
      <c r="BB29" s="576"/>
      <c r="BC29" s="549"/>
      <c r="BD29" s="539"/>
      <c r="BE29" s="747" t="s">
        <v>374</v>
      </c>
      <c r="BF29" s="748"/>
      <c r="BG29" s="749">
        <v>11</v>
      </c>
      <c r="BH29" s="750">
        <v>16.53</v>
      </c>
      <c r="BI29" s="751" t="s">
        <v>373</v>
      </c>
      <c r="BJ29" s="752"/>
      <c r="BK29" s="574"/>
      <c r="BL29" s="753"/>
      <c r="BM29" s="574"/>
      <c r="BN29" s="753"/>
      <c r="BO29" s="574"/>
      <c r="BP29" s="753"/>
      <c r="BQ29" s="574"/>
      <c r="BR29" s="753"/>
      <c r="BS29" s="574"/>
      <c r="BT29" s="753"/>
      <c r="BU29" s="574"/>
      <c r="BV29" s="753"/>
      <c r="BW29" s="574"/>
      <c r="BX29" s="753"/>
      <c r="BY29" s="574"/>
      <c r="BZ29" s="753">
        <v>1</v>
      </c>
      <c r="CA29" s="574">
        <v>182</v>
      </c>
      <c r="CB29" s="753">
        <v>1</v>
      </c>
      <c r="CC29" s="574">
        <v>182</v>
      </c>
      <c r="CD29" s="753">
        <v>1</v>
      </c>
      <c r="CE29" s="574">
        <v>182</v>
      </c>
      <c r="CF29" s="753">
        <v>1</v>
      </c>
      <c r="CG29" s="574">
        <v>182</v>
      </c>
      <c r="CH29" s="753">
        <v>1</v>
      </c>
      <c r="CI29" s="574">
        <v>182</v>
      </c>
      <c r="CJ29" s="753">
        <v>1</v>
      </c>
      <c r="CK29" s="574">
        <v>182</v>
      </c>
      <c r="CL29" s="753">
        <v>1</v>
      </c>
      <c r="CM29" s="574">
        <v>182</v>
      </c>
      <c r="CN29" s="753">
        <v>1</v>
      </c>
      <c r="CO29" s="574">
        <v>182</v>
      </c>
      <c r="CP29" s="753">
        <v>1</v>
      </c>
      <c r="CQ29" s="574">
        <v>182</v>
      </c>
      <c r="CR29" s="753">
        <v>1</v>
      </c>
      <c r="CS29" s="574">
        <v>182</v>
      </c>
      <c r="CT29" s="753"/>
      <c r="CU29" s="574"/>
      <c r="CV29" s="753"/>
      <c r="CW29" s="574"/>
      <c r="CX29" s="753"/>
      <c r="CY29" s="574"/>
      <c r="CZ29" s="753"/>
      <c r="DA29" s="574"/>
      <c r="DB29" s="753"/>
      <c r="DC29" s="574"/>
      <c r="DD29" s="753"/>
      <c r="DE29" s="576"/>
      <c r="DF29" s="549"/>
      <c r="DG29" s="539"/>
      <c r="DH29" s="747" t="s">
        <v>374</v>
      </c>
      <c r="DI29" s="748"/>
      <c r="DJ29" s="749">
        <v>11</v>
      </c>
      <c r="DK29" s="750">
        <v>16.53</v>
      </c>
      <c r="DL29" s="751" t="s">
        <v>373</v>
      </c>
      <c r="DM29" s="752"/>
      <c r="DN29" s="574"/>
      <c r="DO29" s="753"/>
      <c r="DP29" s="574"/>
      <c r="DQ29" s="753"/>
      <c r="DR29" s="574"/>
      <c r="DS29" s="753"/>
      <c r="DT29" s="574"/>
      <c r="DU29" s="753"/>
      <c r="DV29" s="574"/>
      <c r="DW29" s="753"/>
      <c r="DX29" s="574"/>
      <c r="DY29" s="753"/>
      <c r="DZ29" s="574"/>
      <c r="EA29" s="753"/>
      <c r="EB29" s="574"/>
      <c r="EC29" s="753">
        <v>1</v>
      </c>
      <c r="ED29" s="574">
        <v>182</v>
      </c>
      <c r="EE29" s="753">
        <v>1</v>
      </c>
      <c r="EF29" s="574">
        <v>182</v>
      </c>
      <c r="EG29" s="753">
        <v>1</v>
      </c>
      <c r="EH29" s="574">
        <v>182</v>
      </c>
      <c r="EI29" s="753">
        <v>1</v>
      </c>
      <c r="EJ29" s="574">
        <v>182</v>
      </c>
      <c r="EK29" s="753">
        <v>1</v>
      </c>
      <c r="EL29" s="574">
        <v>182</v>
      </c>
      <c r="EM29" s="753">
        <v>1</v>
      </c>
      <c r="EN29" s="574">
        <v>182</v>
      </c>
      <c r="EO29" s="753">
        <v>1</v>
      </c>
      <c r="EP29" s="574">
        <v>182</v>
      </c>
      <c r="EQ29" s="753">
        <v>1</v>
      </c>
      <c r="ER29" s="574">
        <v>182</v>
      </c>
      <c r="ES29" s="753">
        <v>1</v>
      </c>
      <c r="ET29" s="574">
        <v>182</v>
      </c>
      <c r="EU29" s="753">
        <v>1</v>
      </c>
      <c r="EV29" s="574">
        <v>182</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v>10</v>
      </c>
      <c r="D30" s="750">
        <v>16.53</v>
      </c>
      <c r="E30" s="759">
        <v>0.6</v>
      </c>
      <c r="F30" s="760" t="s">
        <v>373</v>
      </c>
      <c r="G30" s="752"/>
      <c r="H30" s="574"/>
      <c r="I30" s="753"/>
      <c r="J30" s="574"/>
      <c r="K30" s="753"/>
      <c r="L30" s="574"/>
      <c r="M30" s="753"/>
      <c r="N30" s="574"/>
      <c r="O30" s="753"/>
      <c r="P30" s="574"/>
      <c r="Q30" s="753"/>
      <c r="R30" s="574"/>
      <c r="S30" s="753"/>
      <c r="T30" s="574"/>
      <c r="U30" s="753"/>
      <c r="V30" s="574"/>
      <c r="W30" s="753">
        <v>1</v>
      </c>
      <c r="X30" s="574">
        <v>99</v>
      </c>
      <c r="Y30" s="753">
        <v>1</v>
      </c>
      <c r="Z30" s="574">
        <v>99</v>
      </c>
      <c r="AA30" s="753">
        <v>1</v>
      </c>
      <c r="AB30" s="574">
        <v>99</v>
      </c>
      <c r="AC30" s="753">
        <v>1</v>
      </c>
      <c r="AD30" s="574">
        <v>99</v>
      </c>
      <c r="AE30" s="753">
        <v>1</v>
      </c>
      <c r="AF30" s="574">
        <v>99</v>
      </c>
      <c r="AG30" s="753">
        <v>1</v>
      </c>
      <c r="AH30" s="574">
        <v>99</v>
      </c>
      <c r="AI30" s="753">
        <v>1</v>
      </c>
      <c r="AJ30" s="574">
        <v>99</v>
      </c>
      <c r="AK30" s="753">
        <v>1</v>
      </c>
      <c r="AL30" s="574">
        <v>99</v>
      </c>
      <c r="AM30" s="753">
        <v>1</v>
      </c>
      <c r="AN30" s="574">
        <v>99</v>
      </c>
      <c r="AO30" s="753">
        <v>1</v>
      </c>
      <c r="AP30" s="574">
        <v>99</v>
      </c>
      <c r="AQ30" s="753"/>
      <c r="AR30" s="574"/>
      <c r="AS30" s="753"/>
      <c r="AT30" s="574"/>
      <c r="AU30" s="753"/>
      <c r="AV30" s="574"/>
      <c r="AW30" s="753"/>
      <c r="AX30" s="574"/>
      <c r="AY30" s="753"/>
      <c r="AZ30" s="574"/>
      <c r="BA30" s="753"/>
      <c r="BB30" s="576"/>
      <c r="BC30" s="549"/>
      <c r="BD30" s="539"/>
      <c r="BE30" s="747" t="s">
        <v>375</v>
      </c>
      <c r="BF30" s="749">
        <v>10</v>
      </c>
      <c r="BG30" s="750">
        <v>16.53</v>
      </c>
      <c r="BH30" s="759">
        <v>0.6</v>
      </c>
      <c r="BI30" s="760" t="s">
        <v>373</v>
      </c>
      <c r="BJ30" s="752"/>
      <c r="BK30" s="574"/>
      <c r="BL30" s="753"/>
      <c r="BM30" s="574"/>
      <c r="BN30" s="753"/>
      <c r="BO30" s="574"/>
      <c r="BP30" s="753"/>
      <c r="BQ30" s="574"/>
      <c r="BR30" s="753"/>
      <c r="BS30" s="574"/>
      <c r="BT30" s="753"/>
      <c r="BU30" s="574"/>
      <c r="BV30" s="753"/>
      <c r="BW30" s="574"/>
      <c r="BX30" s="753"/>
      <c r="BY30" s="574"/>
      <c r="BZ30" s="753">
        <v>1</v>
      </c>
      <c r="CA30" s="574">
        <v>99</v>
      </c>
      <c r="CB30" s="753">
        <v>1</v>
      </c>
      <c r="CC30" s="574">
        <v>99</v>
      </c>
      <c r="CD30" s="753">
        <v>1</v>
      </c>
      <c r="CE30" s="574">
        <v>99</v>
      </c>
      <c r="CF30" s="753">
        <v>1</v>
      </c>
      <c r="CG30" s="574">
        <v>99</v>
      </c>
      <c r="CH30" s="753">
        <v>1</v>
      </c>
      <c r="CI30" s="574">
        <v>99</v>
      </c>
      <c r="CJ30" s="753">
        <v>1</v>
      </c>
      <c r="CK30" s="574">
        <v>99</v>
      </c>
      <c r="CL30" s="753">
        <v>1</v>
      </c>
      <c r="CM30" s="574">
        <v>99</v>
      </c>
      <c r="CN30" s="753">
        <v>1</v>
      </c>
      <c r="CO30" s="574">
        <v>99</v>
      </c>
      <c r="CP30" s="753">
        <v>1</v>
      </c>
      <c r="CQ30" s="574">
        <v>99</v>
      </c>
      <c r="CR30" s="753">
        <v>1</v>
      </c>
      <c r="CS30" s="574">
        <v>99</v>
      </c>
      <c r="CT30" s="753"/>
      <c r="CU30" s="574"/>
      <c r="CV30" s="753"/>
      <c r="CW30" s="574"/>
      <c r="CX30" s="753"/>
      <c r="CY30" s="574"/>
      <c r="CZ30" s="753"/>
      <c r="DA30" s="574"/>
      <c r="DB30" s="753"/>
      <c r="DC30" s="574"/>
      <c r="DD30" s="753"/>
      <c r="DE30" s="576"/>
      <c r="DF30" s="549"/>
      <c r="DG30" s="539"/>
      <c r="DH30" s="747" t="s">
        <v>375</v>
      </c>
      <c r="DI30" s="749">
        <v>10</v>
      </c>
      <c r="DJ30" s="750">
        <v>16.53</v>
      </c>
      <c r="DK30" s="759">
        <v>0.6</v>
      </c>
      <c r="DL30" s="760" t="s">
        <v>373</v>
      </c>
      <c r="DM30" s="752"/>
      <c r="DN30" s="574"/>
      <c r="DO30" s="753"/>
      <c r="DP30" s="574"/>
      <c r="DQ30" s="753"/>
      <c r="DR30" s="574"/>
      <c r="DS30" s="753"/>
      <c r="DT30" s="574"/>
      <c r="DU30" s="753"/>
      <c r="DV30" s="574"/>
      <c r="DW30" s="753"/>
      <c r="DX30" s="574"/>
      <c r="DY30" s="753"/>
      <c r="DZ30" s="574"/>
      <c r="EA30" s="753"/>
      <c r="EB30" s="574"/>
      <c r="EC30" s="753">
        <v>1</v>
      </c>
      <c r="ED30" s="574">
        <v>99</v>
      </c>
      <c r="EE30" s="753">
        <v>1</v>
      </c>
      <c r="EF30" s="574">
        <v>99</v>
      </c>
      <c r="EG30" s="753">
        <v>1</v>
      </c>
      <c r="EH30" s="574">
        <v>99</v>
      </c>
      <c r="EI30" s="753">
        <v>1</v>
      </c>
      <c r="EJ30" s="574">
        <v>99</v>
      </c>
      <c r="EK30" s="753">
        <v>1</v>
      </c>
      <c r="EL30" s="574">
        <v>99</v>
      </c>
      <c r="EM30" s="753">
        <v>1</v>
      </c>
      <c r="EN30" s="574">
        <v>99</v>
      </c>
      <c r="EO30" s="753">
        <v>1</v>
      </c>
      <c r="EP30" s="574">
        <v>99</v>
      </c>
      <c r="EQ30" s="753">
        <v>1</v>
      </c>
      <c r="ER30" s="574">
        <v>99</v>
      </c>
      <c r="ES30" s="753">
        <v>1</v>
      </c>
      <c r="ET30" s="574">
        <v>99</v>
      </c>
      <c r="EU30" s="753">
        <v>1</v>
      </c>
      <c r="EV30" s="574">
        <v>99</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65"/>
      <c r="J33" s="1264">
        <v>0</v>
      </c>
      <c r="K33" s="1265"/>
      <c r="L33" s="1264">
        <v>0</v>
      </c>
      <c r="M33" s="1265"/>
      <c r="N33" s="1264">
        <v>0</v>
      </c>
      <c r="O33" s="1265"/>
      <c r="P33" s="1264">
        <v>0</v>
      </c>
      <c r="Q33" s="1265"/>
      <c r="R33" s="1264">
        <v>0</v>
      </c>
      <c r="S33" s="1265"/>
      <c r="T33" s="1264">
        <v>0</v>
      </c>
      <c r="U33" s="1265"/>
      <c r="V33" s="1264">
        <v>0</v>
      </c>
      <c r="W33" s="1265"/>
      <c r="X33" s="1264">
        <v>391</v>
      </c>
      <c r="Y33" s="1265"/>
      <c r="Z33" s="1264">
        <v>391</v>
      </c>
      <c r="AA33" s="1265"/>
      <c r="AB33" s="1264">
        <v>391</v>
      </c>
      <c r="AC33" s="1265"/>
      <c r="AD33" s="1264">
        <v>391</v>
      </c>
      <c r="AE33" s="1265"/>
      <c r="AF33" s="1264">
        <v>391</v>
      </c>
      <c r="AG33" s="1265"/>
      <c r="AH33" s="1264">
        <v>391</v>
      </c>
      <c r="AI33" s="1265"/>
      <c r="AJ33" s="1264">
        <v>391</v>
      </c>
      <c r="AK33" s="1265"/>
      <c r="AL33" s="1264">
        <v>391</v>
      </c>
      <c r="AM33" s="1265"/>
      <c r="AN33" s="1264">
        <v>391</v>
      </c>
      <c r="AO33" s="1265"/>
      <c r="AP33" s="1264">
        <v>391</v>
      </c>
      <c r="AQ33" s="1265"/>
      <c r="AR33" s="1264">
        <v>0</v>
      </c>
      <c r="AS33" s="1265"/>
      <c r="AT33" s="1264">
        <v>0</v>
      </c>
      <c r="AU33" s="1265"/>
      <c r="AV33" s="1264">
        <v>0</v>
      </c>
      <c r="AW33" s="1265"/>
      <c r="AX33" s="1264">
        <v>0</v>
      </c>
      <c r="AY33" s="1265"/>
      <c r="AZ33" s="1264">
        <v>0</v>
      </c>
      <c r="BA33" s="1265"/>
      <c r="BB33" s="1266">
        <v>0</v>
      </c>
      <c r="BC33" s="635"/>
      <c r="BD33" s="628"/>
      <c r="BE33" s="629"/>
      <c r="BF33" s="629"/>
      <c r="BG33" s="630" t="s">
        <v>378</v>
      </c>
      <c r="BH33" s="629"/>
      <c r="BI33" s="629"/>
      <c r="BJ33" s="1263"/>
      <c r="BK33" s="1264">
        <v>0</v>
      </c>
      <c r="BL33" s="1265"/>
      <c r="BM33" s="1264">
        <v>0</v>
      </c>
      <c r="BN33" s="1265"/>
      <c r="BO33" s="1264">
        <v>0</v>
      </c>
      <c r="BP33" s="1265"/>
      <c r="BQ33" s="1264">
        <v>0</v>
      </c>
      <c r="BR33" s="1265"/>
      <c r="BS33" s="1264">
        <v>0</v>
      </c>
      <c r="BT33" s="1265"/>
      <c r="BU33" s="1264">
        <v>0</v>
      </c>
      <c r="BV33" s="1265"/>
      <c r="BW33" s="1264">
        <v>0</v>
      </c>
      <c r="BX33" s="1265"/>
      <c r="BY33" s="1264">
        <v>0</v>
      </c>
      <c r="BZ33" s="1265"/>
      <c r="CA33" s="1264">
        <v>391</v>
      </c>
      <c r="CB33" s="1265"/>
      <c r="CC33" s="1264">
        <v>391</v>
      </c>
      <c r="CD33" s="1265"/>
      <c r="CE33" s="1264">
        <v>391</v>
      </c>
      <c r="CF33" s="1265"/>
      <c r="CG33" s="1264">
        <v>391</v>
      </c>
      <c r="CH33" s="1265"/>
      <c r="CI33" s="1264">
        <v>391</v>
      </c>
      <c r="CJ33" s="1265"/>
      <c r="CK33" s="1264">
        <v>391</v>
      </c>
      <c r="CL33" s="1265"/>
      <c r="CM33" s="1264">
        <v>391</v>
      </c>
      <c r="CN33" s="1265"/>
      <c r="CO33" s="1264">
        <v>391</v>
      </c>
      <c r="CP33" s="1265"/>
      <c r="CQ33" s="1264">
        <v>391</v>
      </c>
      <c r="CR33" s="1265"/>
      <c r="CS33" s="1264">
        <v>391</v>
      </c>
      <c r="CT33" s="1265"/>
      <c r="CU33" s="1264">
        <v>0</v>
      </c>
      <c r="CV33" s="1265"/>
      <c r="CW33" s="1264">
        <v>0</v>
      </c>
      <c r="CX33" s="1265"/>
      <c r="CY33" s="1264">
        <v>0</v>
      </c>
      <c r="CZ33" s="1265"/>
      <c r="DA33" s="1264">
        <v>0</v>
      </c>
      <c r="DB33" s="1265"/>
      <c r="DC33" s="1264">
        <v>0</v>
      </c>
      <c r="DD33" s="1265"/>
      <c r="DE33" s="1266">
        <v>0</v>
      </c>
      <c r="DF33" s="635"/>
      <c r="DG33" s="628"/>
      <c r="DH33" s="629"/>
      <c r="DI33" s="629"/>
      <c r="DJ33" s="630" t="s">
        <v>378</v>
      </c>
      <c r="DK33" s="629"/>
      <c r="DL33" s="629"/>
      <c r="DM33" s="1263"/>
      <c r="DN33" s="1264">
        <v>0</v>
      </c>
      <c r="DO33" s="1265"/>
      <c r="DP33" s="1264">
        <v>0</v>
      </c>
      <c r="DQ33" s="1265"/>
      <c r="DR33" s="1264">
        <v>0</v>
      </c>
      <c r="DS33" s="1265"/>
      <c r="DT33" s="1264">
        <v>0</v>
      </c>
      <c r="DU33" s="1265"/>
      <c r="DV33" s="1264">
        <v>0</v>
      </c>
      <c r="DW33" s="1265"/>
      <c r="DX33" s="1264">
        <v>0</v>
      </c>
      <c r="DY33" s="1265"/>
      <c r="DZ33" s="1264">
        <v>0</v>
      </c>
      <c r="EA33" s="1265"/>
      <c r="EB33" s="1264">
        <v>0</v>
      </c>
      <c r="EC33" s="1265"/>
      <c r="ED33" s="1264">
        <v>391</v>
      </c>
      <c r="EE33" s="1265"/>
      <c r="EF33" s="1264">
        <v>391</v>
      </c>
      <c r="EG33" s="1265"/>
      <c r="EH33" s="1264">
        <v>391</v>
      </c>
      <c r="EI33" s="1265"/>
      <c r="EJ33" s="1264">
        <v>391</v>
      </c>
      <c r="EK33" s="1265"/>
      <c r="EL33" s="1264">
        <v>391</v>
      </c>
      <c r="EM33" s="1265"/>
      <c r="EN33" s="1264">
        <v>391</v>
      </c>
      <c r="EO33" s="1265"/>
      <c r="EP33" s="1264">
        <v>391</v>
      </c>
      <c r="EQ33" s="1265"/>
      <c r="ER33" s="1264">
        <v>391</v>
      </c>
      <c r="ES33" s="1265"/>
      <c r="ET33" s="1264">
        <v>391</v>
      </c>
      <c r="EU33" s="1265"/>
      <c r="EV33" s="1264">
        <v>391</v>
      </c>
      <c r="EW33" s="1265"/>
      <c r="EX33" s="1264">
        <v>0</v>
      </c>
      <c r="EY33" s="1265"/>
      <c r="EZ33" s="1264">
        <v>0</v>
      </c>
      <c r="FA33" s="1265"/>
      <c r="FB33" s="1264">
        <v>0</v>
      </c>
      <c r="FC33" s="1265"/>
      <c r="FD33" s="1264">
        <v>0</v>
      </c>
      <c r="FE33" s="1265"/>
      <c r="FF33" s="1264">
        <v>0</v>
      </c>
      <c r="FG33" s="1265"/>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204</v>
      </c>
      <c r="GV33" s="795"/>
      <c r="GW33" s="796">
        <v>7.73</v>
      </c>
      <c r="GX33" s="797">
        <v>6.48</v>
      </c>
      <c r="GY33" s="797">
        <v>6.81</v>
      </c>
      <c r="GZ33" s="797">
        <v>0</v>
      </c>
      <c r="HA33" s="797">
        <v>21.02</v>
      </c>
      <c r="HB33" s="798">
        <v>16.53</v>
      </c>
      <c r="HC33" s="404"/>
      <c r="HD33" s="635"/>
      <c r="HE33" s="406"/>
      <c r="HF33" s="406"/>
    </row>
    <row r="34" spans="1:219" ht="20.100000000000001" customHeight="1">
      <c r="A34" s="127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7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7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572</v>
      </c>
      <c r="GL34" s="807"/>
      <c r="GM34" s="807"/>
      <c r="GN34" s="807"/>
      <c r="GO34" s="807"/>
      <c r="GP34" s="807"/>
      <c r="GQ34" s="602">
        <v>8.6</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76">
        <v>0</v>
      </c>
      <c r="I36" s="1277"/>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79">
        <v>0</v>
      </c>
      <c r="BC36" s="635"/>
      <c r="BD36" s="811"/>
      <c r="BE36" s="629"/>
      <c r="BF36" s="629"/>
      <c r="BG36" s="630" t="s">
        <v>382</v>
      </c>
      <c r="BH36" s="629"/>
      <c r="BI36" s="629"/>
      <c r="BJ36" s="1275"/>
      <c r="BK36" s="1276">
        <v>0</v>
      </c>
      <c r="BL36" s="1277"/>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79">
        <v>0</v>
      </c>
      <c r="DF36" s="635"/>
      <c r="DG36" s="811"/>
      <c r="DH36" s="629"/>
      <c r="DI36" s="629"/>
      <c r="DJ36" s="630" t="s">
        <v>382</v>
      </c>
      <c r="DK36" s="629"/>
      <c r="DL36" s="629"/>
      <c r="DM36" s="1275"/>
      <c r="DN36" s="1276">
        <v>0</v>
      </c>
      <c r="DO36" s="1277"/>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79">
        <v>0</v>
      </c>
      <c r="FI36" s="636"/>
      <c r="FJ36" s="820"/>
      <c r="FK36" s="629"/>
      <c r="FL36" s="629"/>
      <c r="FM36" s="630" t="s">
        <v>382</v>
      </c>
      <c r="FN36" s="629"/>
      <c r="FO36" s="629"/>
      <c r="FP36" s="1267"/>
      <c r="FQ36" s="1277"/>
      <c r="FR36" s="1276">
        <v>0</v>
      </c>
      <c r="FS36" s="1280"/>
      <c r="FT36" s="1277"/>
      <c r="FU36" s="128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21.02</v>
      </c>
      <c r="HB38" s="854">
        <v>16.53</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1.27</v>
      </c>
      <c r="HB39" s="566"/>
      <c r="HC39" s="517"/>
      <c r="HD39" s="549"/>
    </row>
    <row r="40" spans="1:219" ht="20.100000000000001" customHeight="1">
      <c r="A40" s="868"/>
      <c r="B40" s="629"/>
      <c r="C40" s="629"/>
      <c r="D40" s="630" t="s">
        <v>393</v>
      </c>
      <c r="E40" s="629"/>
      <c r="F40" s="629"/>
      <c r="G40" s="1275"/>
      <c r="H40" s="1276">
        <v>0</v>
      </c>
      <c r="I40" s="1277"/>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79">
        <v>0</v>
      </c>
      <c r="BC40" s="635"/>
      <c r="BD40" s="868"/>
      <c r="BE40" s="629"/>
      <c r="BF40" s="629"/>
      <c r="BG40" s="630" t="s">
        <v>393</v>
      </c>
      <c r="BH40" s="629"/>
      <c r="BI40" s="629"/>
      <c r="BJ40" s="1275"/>
      <c r="BK40" s="1276">
        <v>0</v>
      </c>
      <c r="BL40" s="1277"/>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79">
        <v>0</v>
      </c>
      <c r="DF40" s="635"/>
      <c r="DG40" s="868"/>
      <c r="DH40" s="629"/>
      <c r="DI40" s="629"/>
      <c r="DJ40" s="630" t="s">
        <v>393</v>
      </c>
      <c r="DK40" s="629"/>
      <c r="DL40" s="629"/>
      <c r="DM40" s="1275"/>
      <c r="DN40" s="1276">
        <v>0</v>
      </c>
      <c r="DO40" s="1277"/>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79">
        <v>0</v>
      </c>
      <c r="FI40" s="636"/>
      <c r="FJ40" s="820"/>
      <c r="FK40" s="629"/>
      <c r="FL40" s="629"/>
      <c r="FM40" s="630" t="s">
        <v>393</v>
      </c>
      <c r="FN40" s="629"/>
      <c r="FO40" s="629"/>
      <c r="FP40" s="1267"/>
      <c r="FQ40" s="1277"/>
      <c r="FR40" s="1276">
        <v>0</v>
      </c>
      <c r="FS40" s="1280"/>
      <c r="FT40" s="1277"/>
      <c r="FU40" s="128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574</v>
      </c>
      <c r="GV40" s="517"/>
      <c r="GW40" s="517"/>
      <c r="GX40" s="517"/>
      <c r="GY40" s="517"/>
      <c r="GZ40" s="517"/>
      <c r="HA40" s="873">
        <v>29.3</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488</v>
      </c>
      <c r="GV41" s="517"/>
      <c r="GW41" s="517"/>
      <c r="GX41" s="517"/>
      <c r="GY41" s="517"/>
      <c r="GZ41" s="517"/>
      <c r="HA41" s="873">
        <v>25.3</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142</v>
      </c>
      <c r="Y42" s="818"/>
      <c r="Z42" s="782">
        <v>86</v>
      </c>
      <c r="AA42" s="818"/>
      <c r="AB42" s="782">
        <v>79</v>
      </c>
      <c r="AC42" s="818"/>
      <c r="AD42" s="782">
        <v>73</v>
      </c>
      <c r="AE42" s="818"/>
      <c r="AF42" s="782">
        <v>66</v>
      </c>
      <c r="AG42" s="818"/>
      <c r="AH42" s="782">
        <v>61</v>
      </c>
      <c r="AI42" s="818"/>
      <c r="AJ42" s="782">
        <v>56</v>
      </c>
      <c r="AK42" s="818"/>
      <c r="AL42" s="782">
        <v>51</v>
      </c>
      <c r="AM42" s="818"/>
      <c r="AN42" s="782">
        <v>48</v>
      </c>
      <c r="AO42" s="818"/>
      <c r="AP42" s="782">
        <v>43</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142</v>
      </c>
      <c r="CB42" s="818"/>
      <c r="CC42" s="782">
        <v>86</v>
      </c>
      <c r="CD42" s="818"/>
      <c r="CE42" s="782">
        <v>79</v>
      </c>
      <c r="CF42" s="818"/>
      <c r="CG42" s="782">
        <v>73</v>
      </c>
      <c r="CH42" s="818"/>
      <c r="CI42" s="782">
        <v>66</v>
      </c>
      <c r="CJ42" s="818"/>
      <c r="CK42" s="782">
        <v>61</v>
      </c>
      <c r="CL42" s="818"/>
      <c r="CM42" s="782">
        <v>56</v>
      </c>
      <c r="CN42" s="818"/>
      <c r="CO42" s="782">
        <v>51</v>
      </c>
      <c r="CP42" s="818"/>
      <c r="CQ42" s="782">
        <v>48</v>
      </c>
      <c r="CR42" s="818"/>
      <c r="CS42" s="782">
        <v>43</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142</v>
      </c>
      <c r="EE42" s="818"/>
      <c r="EF42" s="782">
        <v>86</v>
      </c>
      <c r="EG42" s="818"/>
      <c r="EH42" s="782">
        <v>79</v>
      </c>
      <c r="EI42" s="818"/>
      <c r="EJ42" s="782">
        <v>73</v>
      </c>
      <c r="EK42" s="818"/>
      <c r="EL42" s="782">
        <v>66</v>
      </c>
      <c r="EM42" s="818"/>
      <c r="EN42" s="782">
        <v>61</v>
      </c>
      <c r="EO42" s="818"/>
      <c r="EP42" s="782">
        <v>56</v>
      </c>
      <c r="EQ42" s="818"/>
      <c r="ER42" s="782">
        <v>51</v>
      </c>
      <c r="ES42" s="818"/>
      <c r="ET42" s="782">
        <v>48</v>
      </c>
      <c r="EU42" s="818"/>
      <c r="EV42" s="782">
        <v>43</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81</v>
      </c>
      <c r="FS42" s="822"/>
      <c r="FT42" s="817"/>
      <c r="FU42" s="788">
        <v>81</v>
      </c>
      <c r="FV42" s="580"/>
      <c r="FW42" s="581"/>
      <c r="FX42" s="789"/>
      <c r="FY42" s="583"/>
      <c r="FZ42" s="790"/>
      <c r="GA42" s="585"/>
      <c r="GB42" s="791"/>
      <c r="GC42" s="587"/>
      <c r="GD42" s="791"/>
      <c r="GE42" s="588"/>
      <c r="GF42" s="823"/>
      <c r="GG42" s="589"/>
      <c r="GH42" s="589"/>
      <c r="GI42" s="589"/>
      <c r="GJ42" s="400"/>
      <c r="GK42" s="887"/>
      <c r="GL42" s="888"/>
      <c r="GM42" s="889">
        <v>8.6</v>
      </c>
      <c r="GN42" s="889"/>
      <c r="GO42" s="889">
        <v>0</v>
      </c>
      <c r="GP42" s="889"/>
      <c r="GQ42" s="889">
        <v>8.6</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76">
        <v>0</v>
      </c>
      <c r="I44" s="1277"/>
      <c r="J44" s="827">
        <v>0</v>
      </c>
      <c r="K44" s="1278"/>
      <c r="L44" s="827">
        <v>0</v>
      </c>
      <c r="M44" s="1278"/>
      <c r="N44" s="827">
        <v>0</v>
      </c>
      <c r="O44" s="1278"/>
      <c r="P44" s="827">
        <v>0</v>
      </c>
      <c r="Q44" s="1278"/>
      <c r="R44" s="827">
        <v>0</v>
      </c>
      <c r="S44" s="1278"/>
      <c r="T44" s="827">
        <v>0</v>
      </c>
      <c r="U44" s="1278"/>
      <c r="V44" s="827">
        <v>0</v>
      </c>
      <c r="W44" s="1278"/>
      <c r="X44" s="827">
        <v>142</v>
      </c>
      <c r="Y44" s="1278"/>
      <c r="Z44" s="827">
        <v>86</v>
      </c>
      <c r="AA44" s="1278"/>
      <c r="AB44" s="827">
        <v>79</v>
      </c>
      <c r="AC44" s="1278"/>
      <c r="AD44" s="827">
        <v>73</v>
      </c>
      <c r="AE44" s="1278"/>
      <c r="AF44" s="827">
        <v>66</v>
      </c>
      <c r="AG44" s="1278"/>
      <c r="AH44" s="827">
        <v>61</v>
      </c>
      <c r="AI44" s="1278"/>
      <c r="AJ44" s="827">
        <v>56</v>
      </c>
      <c r="AK44" s="1278"/>
      <c r="AL44" s="827">
        <v>51</v>
      </c>
      <c r="AM44" s="1278"/>
      <c r="AN44" s="827">
        <v>48</v>
      </c>
      <c r="AO44" s="1278"/>
      <c r="AP44" s="827">
        <v>43</v>
      </c>
      <c r="AQ44" s="1278"/>
      <c r="AR44" s="827">
        <v>0</v>
      </c>
      <c r="AS44" s="1278"/>
      <c r="AT44" s="827">
        <v>0</v>
      </c>
      <c r="AU44" s="1278"/>
      <c r="AV44" s="827">
        <v>0</v>
      </c>
      <c r="AW44" s="1278"/>
      <c r="AX44" s="827">
        <v>0</v>
      </c>
      <c r="AY44" s="1278"/>
      <c r="AZ44" s="827">
        <v>0</v>
      </c>
      <c r="BA44" s="1278"/>
      <c r="BB44" s="1279">
        <v>0</v>
      </c>
      <c r="BC44" s="635"/>
      <c r="BD44" s="912"/>
      <c r="BE44" s="629"/>
      <c r="BF44" s="629"/>
      <c r="BG44" s="630" t="s">
        <v>397</v>
      </c>
      <c r="BH44" s="629"/>
      <c r="BI44" s="629"/>
      <c r="BJ44" s="1275"/>
      <c r="BK44" s="1276">
        <v>0</v>
      </c>
      <c r="BL44" s="1277"/>
      <c r="BM44" s="827">
        <v>0</v>
      </c>
      <c r="BN44" s="1278"/>
      <c r="BO44" s="827">
        <v>0</v>
      </c>
      <c r="BP44" s="1278"/>
      <c r="BQ44" s="827">
        <v>0</v>
      </c>
      <c r="BR44" s="1278"/>
      <c r="BS44" s="827">
        <v>0</v>
      </c>
      <c r="BT44" s="1278"/>
      <c r="BU44" s="827">
        <v>0</v>
      </c>
      <c r="BV44" s="1278"/>
      <c r="BW44" s="827">
        <v>0</v>
      </c>
      <c r="BX44" s="1278"/>
      <c r="BY44" s="827">
        <v>0</v>
      </c>
      <c r="BZ44" s="1278"/>
      <c r="CA44" s="827">
        <v>142</v>
      </c>
      <c r="CB44" s="1278"/>
      <c r="CC44" s="827">
        <v>86</v>
      </c>
      <c r="CD44" s="1278"/>
      <c r="CE44" s="827">
        <v>79</v>
      </c>
      <c r="CF44" s="1278"/>
      <c r="CG44" s="827">
        <v>73</v>
      </c>
      <c r="CH44" s="1278"/>
      <c r="CI44" s="827">
        <v>66</v>
      </c>
      <c r="CJ44" s="1278"/>
      <c r="CK44" s="827">
        <v>61</v>
      </c>
      <c r="CL44" s="1278"/>
      <c r="CM44" s="827">
        <v>56</v>
      </c>
      <c r="CN44" s="1278"/>
      <c r="CO44" s="827">
        <v>51</v>
      </c>
      <c r="CP44" s="1278"/>
      <c r="CQ44" s="827">
        <v>48</v>
      </c>
      <c r="CR44" s="1278"/>
      <c r="CS44" s="827">
        <v>43</v>
      </c>
      <c r="CT44" s="1278"/>
      <c r="CU44" s="827">
        <v>0</v>
      </c>
      <c r="CV44" s="1278"/>
      <c r="CW44" s="827">
        <v>0</v>
      </c>
      <c r="CX44" s="1278"/>
      <c r="CY44" s="827">
        <v>0</v>
      </c>
      <c r="CZ44" s="1278"/>
      <c r="DA44" s="827">
        <v>0</v>
      </c>
      <c r="DB44" s="1278"/>
      <c r="DC44" s="827">
        <v>0</v>
      </c>
      <c r="DD44" s="1278"/>
      <c r="DE44" s="1279">
        <v>0</v>
      </c>
      <c r="DF44" s="635"/>
      <c r="DG44" s="912"/>
      <c r="DH44" s="629"/>
      <c r="DI44" s="629"/>
      <c r="DJ44" s="630" t="s">
        <v>397</v>
      </c>
      <c r="DK44" s="629"/>
      <c r="DL44" s="629"/>
      <c r="DM44" s="1275"/>
      <c r="DN44" s="1276">
        <v>0</v>
      </c>
      <c r="DO44" s="1277"/>
      <c r="DP44" s="827">
        <v>0</v>
      </c>
      <c r="DQ44" s="1278"/>
      <c r="DR44" s="827">
        <v>0</v>
      </c>
      <c r="DS44" s="1278"/>
      <c r="DT44" s="827">
        <v>0</v>
      </c>
      <c r="DU44" s="1278"/>
      <c r="DV44" s="827">
        <v>0</v>
      </c>
      <c r="DW44" s="1278"/>
      <c r="DX44" s="827">
        <v>0</v>
      </c>
      <c r="DY44" s="1278"/>
      <c r="DZ44" s="827">
        <v>0</v>
      </c>
      <c r="EA44" s="1278"/>
      <c r="EB44" s="827">
        <v>0</v>
      </c>
      <c r="EC44" s="1278"/>
      <c r="ED44" s="827">
        <v>142</v>
      </c>
      <c r="EE44" s="1278"/>
      <c r="EF44" s="827">
        <v>86</v>
      </c>
      <c r="EG44" s="1278"/>
      <c r="EH44" s="827">
        <v>79</v>
      </c>
      <c r="EI44" s="1278"/>
      <c r="EJ44" s="827">
        <v>73</v>
      </c>
      <c r="EK44" s="1278"/>
      <c r="EL44" s="827">
        <v>66</v>
      </c>
      <c r="EM44" s="1278"/>
      <c r="EN44" s="827">
        <v>61</v>
      </c>
      <c r="EO44" s="1278"/>
      <c r="EP44" s="827">
        <v>56</v>
      </c>
      <c r="EQ44" s="1278"/>
      <c r="ER44" s="827">
        <v>51</v>
      </c>
      <c r="ES44" s="1278"/>
      <c r="ET44" s="827">
        <v>48</v>
      </c>
      <c r="EU44" s="1278"/>
      <c r="EV44" s="827">
        <v>43</v>
      </c>
      <c r="EW44" s="1278"/>
      <c r="EX44" s="827">
        <v>0</v>
      </c>
      <c r="EY44" s="1278"/>
      <c r="EZ44" s="827">
        <v>0</v>
      </c>
      <c r="FA44" s="1278"/>
      <c r="FB44" s="827">
        <v>0</v>
      </c>
      <c r="FC44" s="1278"/>
      <c r="FD44" s="827">
        <v>0</v>
      </c>
      <c r="FE44" s="1278"/>
      <c r="FF44" s="827">
        <v>0</v>
      </c>
      <c r="FG44" s="1278"/>
      <c r="FH44" s="1279">
        <v>0</v>
      </c>
      <c r="FI44" s="636"/>
      <c r="FJ44" s="913"/>
      <c r="FK44" s="629"/>
      <c r="FL44" s="629"/>
      <c r="FM44" s="630" t="s">
        <v>397</v>
      </c>
      <c r="FN44" s="629"/>
      <c r="FO44" s="629"/>
      <c r="FP44" s="1267"/>
      <c r="FQ44" s="1277"/>
      <c r="FR44" s="1276">
        <v>81</v>
      </c>
      <c r="FS44" s="1280"/>
      <c r="FT44" s="1277"/>
      <c r="FU44" s="1281">
        <v>81</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5.6</v>
      </c>
      <c r="GN44" s="914"/>
      <c r="GO44" s="914">
        <v>0</v>
      </c>
      <c r="GP44" s="914"/>
      <c r="GQ44" s="889">
        <v>5.6</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730</v>
      </c>
      <c r="Y45" s="923"/>
      <c r="Z45" s="922">
        <v>738</v>
      </c>
      <c r="AA45" s="923"/>
      <c r="AB45" s="922">
        <v>774</v>
      </c>
      <c r="AC45" s="923"/>
      <c r="AD45" s="922">
        <v>779</v>
      </c>
      <c r="AE45" s="923"/>
      <c r="AF45" s="922">
        <v>749</v>
      </c>
      <c r="AG45" s="923"/>
      <c r="AH45" s="922">
        <v>686</v>
      </c>
      <c r="AI45" s="923"/>
      <c r="AJ45" s="922">
        <v>667</v>
      </c>
      <c r="AK45" s="923"/>
      <c r="AL45" s="922">
        <v>641</v>
      </c>
      <c r="AM45" s="923"/>
      <c r="AN45" s="922">
        <v>599</v>
      </c>
      <c r="AO45" s="923"/>
      <c r="AP45" s="922">
        <v>554</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733</v>
      </c>
      <c r="CB45" s="923"/>
      <c r="CC45" s="922">
        <v>752</v>
      </c>
      <c r="CD45" s="923"/>
      <c r="CE45" s="922">
        <v>795</v>
      </c>
      <c r="CF45" s="923"/>
      <c r="CG45" s="922">
        <v>792</v>
      </c>
      <c r="CH45" s="923"/>
      <c r="CI45" s="922">
        <v>748</v>
      </c>
      <c r="CJ45" s="923"/>
      <c r="CK45" s="922">
        <v>652</v>
      </c>
      <c r="CL45" s="923"/>
      <c r="CM45" s="922">
        <v>646</v>
      </c>
      <c r="CN45" s="923"/>
      <c r="CO45" s="922">
        <v>623</v>
      </c>
      <c r="CP45" s="923"/>
      <c r="CQ45" s="922">
        <v>598</v>
      </c>
      <c r="CR45" s="923"/>
      <c r="CS45" s="922">
        <v>554</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865</v>
      </c>
      <c r="EE45" s="923"/>
      <c r="EF45" s="922">
        <v>909</v>
      </c>
      <c r="EG45" s="923"/>
      <c r="EH45" s="922">
        <v>963</v>
      </c>
      <c r="EI45" s="923"/>
      <c r="EJ45" s="922">
        <v>962</v>
      </c>
      <c r="EK45" s="923"/>
      <c r="EL45" s="922">
        <v>899</v>
      </c>
      <c r="EM45" s="923"/>
      <c r="EN45" s="922">
        <v>800</v>
      </c>
      <c r="EO45" s="923"/>
      <c r="EP45" s="922">
        <v>682</v>
      </c>
      <c r="EQ45" s="923"/>
      <c r="ER45" s="922">
        <v>601</v>
      </c>
      <c r="ES45" s="923"/>
      <c r="ET45" s="922">
        <v>556</v>
      </c>
      <c r="EU45" s="923"/>
      <c r="EV45" s="922">
        <v>513</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438</v>
      </c>
      <c r="FS45" s="927"/>
      <c r="FT45" s="926"/>
      <c r="FU45" s="928">
        <v>447</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399</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515</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516</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767</v>
      </c>
      <c r="Y47" s="955"/>
      <c r="Z47" s="954">
        <v>775</v>
      </c>
      <c r="AA47" s="955"/>
      <c r="AB47" s="954">
        <v>813</v>
      </c>
      <c r="AC47" s="955"/>
      <c r="AD47" s="954">
        <v>818</v>
      </c>
      <c r="AE47" s="955"/>
      <c r="AF47" s="954">
        <v>786</v>
      </c>
      <c r="AG47" s="955"/>
      <c r="AH47" s="954">
        <v>720</v>
      </c>
      <c r="AI47" s="955"/>
      <c r="AJ47" s="954">
        <v>700</v>
      </c>
      <c r="AK47" s="955"/>
      <c r="AL47" s="954">
        <v>673</v>
      </c>
      <c r="AM47" s="955"/>
      <c r="AN47" s="954">
        <v>629</v>
      </c>
      <c r="AO47" s="955"/>
      <c r="AP47" s="954">
        <v>582</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770</v>
      </c>
      <c r="CB47" s="955"/>
      <c r="CC47" s="954">
        <v>790</v>
      </c>
      <c r="CD47" s="955"/>
      <c r="CE47" s="954">
        <v>835</v>
      </c>
      <c r="CF47" s="955"/>
      <c r="CG47" s="954">
        <v>832</v>
      </c>
      <c r="CH47" s="955"/>
      <c r="CI47" s="954">
        <v>785</v>
      </c>
      <c r="CJ47" s="955"/>
      <c r="CK47" s="954">
        <v>685</v>
      </c>
      <c r="CL47" s="955"/>
      <c r="CM47" s="954">
        <v>678</v>
      </c>
      <c r="CN47" s="955"/>
      <c r="CO47" s="954">
        <v>654</v>
      </c>
      <c r="CP47" s="955"/>
      <c r="CQ47" s="954">
        <v>628</v>
      </c>
      <c r="CR47" s="955"/>
      <c r="CS47" s="954">
        <v>582</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908</v>
      </c>
      <c r="EE47" s="955"/>
      <c r="EF47" s="954">
        <v>954</v>
      </c>
      <c r="EG47" s="955"/>
      <c r="EH47" s="954">
        <v>1011</v>
      </c>
      <c r="EI47" s="955"/>
      <c r="EJ47" s="954">
        <v>1010</v>
      </c>
      <c r="EK47" s="955"/>
      <c r="EL47" s="954">
        <v>944</v>
      </c>
      <c r="EM47" s="955"/>
      <c r="EN47" s="954">
        <v>840</v>
      </c>
      <c r="EO47" s="955"/>
      <c r="EP47" s="954">
        <v>716</v>
      </c>
      <c r="EQ47" s="955"/>
      <c r="ER47" s="954">
        <v>631</v>
      </c>
      <c r="ES47" s="955"/>
      <c r="ET47" s="954">
        <v>584</v>
      </c>
      <c r="EU47" s="955"/>
      <c r="EV47" s="954">
        <v>539</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438</v>
      </c>
      <c r="FS47" s="963"/>
      <c r="FT47" s="962"/>
      <c r="FU47" s="964">
        <v>447</v>
      </c>
      <c r="FV47" s="965">
        <v>12</v>
      </c>
      <c r="FW47" s="954">
        <v>818</v>
      </c>
      <c r="FX47" s="966">
        <v>11</v>
      </c>
      <c r="FY47" s="954">
        <v>835</v>
      </c>
      <c r="FZ47" s="966">
        <v>11</v>
      </c>
      <c r="GA47" s="954">
        <v>1011</v>
      </c>
      <c r="GB47" s="967" t="s">
        <v>330</v>
      </c>
      <c r="GC47" s="954">
        <v>1011</v>
      </c>
      <c r="GD47" s="967" t="s">
        <v>332</v>
      </c>
      <c r="GE47" s="968">
        <v>447</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v>66</v>
      </c>
      <c r="E49" s="738">
        <v>2</v>
      </c>
      <c r="F49" s="982" t="s">
        <v>373</v>
      </c>
      <c r="G49" s="740"/>
      <c r="H49" s="546"/>
      <c r="I49" s="741"/>
      <c r="J49" s="546"/>
      <c r="K49" s="741"/>
      <c r="L49" s="546"/>
      <c r="M49" s="741"/>
      <c r="N49" s="546"/>
      <c r="O49" s="741"/>
      <c r="P49" s="546"/>
      <c r="Q49" s="741"/>
      <c r="R49" s="546"/>
      <c r="S49" s="741"/>
      <c r="T49" s="546"/>
      <c r="U49" s="741"/>
      <c r="V49" s="546"/>
      <c r="W49" s="741">
        <v>1</v>
      </c>
      <c r="X49" s="546">
        <v>132</v>
      </c>
      <c r="Y49" s="741">
        <v>1</v>
      </c>
      <c r="Z49" s="546">
        <v>132</v>
      </c>
      <c r="AA49" s="741">
        <v>1</v>
      </c>
      <c r="AB49" s="546">
        <v>132</v>
      </c>
      <c r="AC49" s="741">
        <v>1</v>
      </c>
      <c r="AD49" s="546">
        <v>132</v>
      </c>
      <c r="AE49" s="741">
        <v>1</v>
      </c>
      <c r="AF49" s="546">
        <v>132</v>
      </c>
      <c r="AG49" s="741">
        <v>1</v>
      </c>
      <c r="AH49" s="546">
        <v>132</v>
      </c>
      <c r="AI49" s="741">
        <v>1</v>
      </c>
      <c r="AJ49" s="546">
        <v>132</v>
      </c>
      <c r="AK49" s="741">
        <v>1</v>
      </c>
      <c r="AL49" s="546">
        <v>132</v>
      </c>
      <c r="AM49" s="741">
        <v>1</v>
      </c>
      <c r="AN49" s="546">
        <v>132</v>
      </c>
      <c r="AO49" s="741">
        <v>1</v>
      </c>
      <c r="AP49" s="546">
        <v>132</v>
      </c>
      <c r="AQ49" s="741"/>
      <c r="AR49" s="546"/>
      <c r="AS49" s="741"/>
      <c r="AT49" s="546"/>
      <c r="AU49" s="741"/>
      <c r="AV49" s="546"/>
      <c r="AW49" s="741"/>
      <c r="AX49" s="546"/>
      <c r="AY49" s="983"/>
      <c r="AZ49" s="984"/>
      <c r="BA49" s="985"/>
      <c r="BB49" s="986"/>
      <c r="BC49" s="917"/>
      <c r="BD49" s="980"/>
      <c r="BE49" s="735" t="s">
        <v>372</v>
      </c>
      <c r="BF49" s="981"/>
      <c r="BG49" s="737"/>
      <c r="BH49" s="738">
        <v>2</v>
      </c>
      <c r="BI49" s="982" t="s">
        <v>373</v>
      </c>
      <c r="BJ49" s="740"/>
      <c r="BK49" s="546"/>
      <c r="BL49" s="741"/>
      <c r="BM49" s="546"/>
      <c r="BN49" s="741"/>
      <c r="BO49" s="546"/>
      <c r="BP49" s="741"/>
      <c r="BQ49" s="546"/>
      <c r="BR49" s="741"/>
      <c r="BS49" s="546"/>
      <c r="BT49" s="741"/>
      <c r="BU49" s="546"/>
      <c r="BV49" s="741"/>
      <c r="BW49" s="546"/>
      <c r="BX49" s="741"/>
      <c r="BY49" s="546"/>
      <c r="BZ49" s="741">
        <v>1</v>
      </c>
      <c r="CA49" s="546">
        <v>132</v>
      </c>
      <c r="CB49" s="741">
        <v>1</v>
      </c>
      <c r="CC49" s="546">
        <v>132</v>
      </c>
      <c r="CD49" s="741">
        <v>1</v>
      </c>
      <c r="CE49" s="546">
        <v>132</v>
      </c>
      <c r="CF49" s="741">
        <v>1</v>
      </c>
      <c r="CG49" s="546">
        <v>132</v>
      </c>
      <c r="CH49" s="741">
        <v>1</v>
      </c>
      <c r="CI49" s="546">
        <v>132</v>
      </c>
      <c r="CJ49" s="741">
        <v>1</v>
      </c>
      <c r="CK49" s="546">
        <v>132</v>
      </c>
      <c r="CL49" s="741">
        <v>1</v>
      </c>
      <c r="CM49" s="546">
        <v>132</v>
      </c>
      <c r="CN49" s="741">
        <v>1</v>
      </c>
      <c r="CO49" s="546">
        <v>132</v>
      </c>
      <c r="CP49" s="741">
        <v>1</v>
      </c>
      <c r="CQ49" s="546">
        <v>132</v>
      </c>
      <c r="CR49" s="741">
        <v>1</v>
      </c>
      <c r="CS49" s="546">
        <v>132</v>
      </c>
      <c r="CT49" s="741"/>
      <c r="CU49" s="546"/>
      <c r="CV49" s="741"/>
      <c r="CW49" s="546"/>
      <c r="CX49" s="741"/>
      <c r="CY49" s="546"/>
      <c r="CZ49" s="741"/>
      <c r="DA49" s="546"/>
      <c r="DB49" s="983"/>
      <c r="DC49" s="984"/>
      <c r="DD49" s="985"/>
      <c r="DE49" s="986"/>
      <c r="DF49" s="917"/>
      <c r="DG49" s="980"/>
      <c r="DH49" s="735" t="s">
        <v>372</v>
      </c>
      <c r="DI49" s="981"/>
      <c r="DJ49" s="737"/>
      <c r="DK49" s="738">
        <v>2</v>
      </c>
      <c r="DL49" s="982" t="s">
        <v>373</v>
      </c>
      <c r="DM49" s="740"/>
      <c r="DN49" s="546"/>
      <c r="DO49" s="741"/>
      <c r="DP49" s="546"/>
      <c r="DQ49" s="741"/>
      <c r="DR49" s="546"/>
      <c r="DS49" s="741"/>
      <c r="DT49" s="546"/>
      <c r="DU49" s="741"/>
      <c r="DV49" s="546"/>
      <c r="DW49" s="741"/>
      <c r="DX49" s="546"/>
      <c r="DY49" s="741"/>
      <c r="DZ49" s="546"/>
      <c r="EA49" s="741"/>
      <c r="EB49" s="546"/>
      <c r="EC49" s="741">
        <v>1</v>
      </c>
      <c r="ED49" s="546">
        <v>132</v>
      </c>
      <c r="EE49" s="741">
        <v>1</v>
      </c>
      <c r="EF49" s="546">
        <v>132</v>
      </c>
      <c r="EG49" s="741">
        <v>1</v>
      </c>
      <c r="EH49" s="546">
        <v>132</v>
      </c>
      <c r="EI49" s="741">
        <v>1</v>
      </c>
      <c r="EJ49" s="546">
        <v>132</v>
      </c>
      <c r="EK49" s="741">
        <v>1</v>
      </c>
      <c r="EL49" s="546">
        <v>132</v>
      </c>
      <c r="EM49" s="741">
        <v>1</v>
      </c>
      <c r="EN49" s="546">
        <v>132</v>
      </c>
      <c r="EO49" s="741">
        <v>1</v>
      </c>
      <c r="EP49" s="546">
        <v>132</v>
      </c>
      <c r="EQ49" s="741">
        <v>1</v>
      </c>
      <c r="ER49" s="546">
        <v>132</v>
      </c>
      <c r="ES49" s="741">
        <v>1</v>
      </c>
      <c r="ET49" s="546">
        <v>132</v>
      </c>
      <c r="EU49" s="741">
        <v>1</v>
      </c>
      <c r="EV49" s="546">
        <v>132</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573</v>
      </c>
      <c r="GV50" s="567"/>
      <c r="GW50" s="567"/>
      <c r="GX50" s="567"/>
      <c r="GY50" s="602"/>
      <c r="GZ50" s="566"/>
      <c r="HA50" s="602">
        <v>4.9000000000000004</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4.9000000000000004</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132</v>
      </c>
      <c r="Y52" s="1038"/>
      <c r="Z52" s="1037">
        <v>132</v>
      </c>
      <c r="AA52" s="1038"/>
      <c r="AB52" s="1037">
        <v>132</v>
      </c>
      <c r="AC52" s="1038"/>
      <c r="AD52" s="1037">
        <v>132</v>
      </c>
      <c r="AE52" s="1038"/>
      <c r="AF52" s="1037">
        <v>132</v>
      </c>
      <c r="AG52" s="1038"/>
      <c r="AH52" s="1037">
        <v>132</v>
      </c>
      <c r="AI52" s="1038"/>
      <c r="AJ52" s="1037">
        <v>132</v>
      </c>
      <c r="AK52" s="1038"/>
      <c r="AL52" s="1037">
        <v>132</v>
      </c>
      <c r="AM52" s="1038"/>
      <c r="AN52" s="1037">
        <v>132</v>
      </c>
      <c r="AO52" s="1038"/>
      <c r="AP52" s="1037">
        <v>132</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132</v>
      </c>
      <c r="CB52" s="1038"/>
      <c r="CC52" s="1037">
        <v>132</v>
      </c>
      <c r="CD52" s="1038"/>
      <c r="CE52" s="1037">
        <v>132</v>
      </c>
      <c r="CF52" s="1038"/>
      <c r="CG52" s="1037">
        <v>132</v>
      </c>
      <c r="CH52" s="1038"/>
      <c r="CI52" s="1037">
        <v>132</v>
      </c>
      <c r="CJ52" s="1038"/>
      <c r="CK52" s="1037">
        <v>132</v>
      </c>
      <c r="CL52" s="1038"/>
      <c r="CM52" s="1037">
        <v>132</v>
      </c>
      <c r="CN52" s="1038"/>
      <c r="CO52" s="1037">
        <v>132</v>
      </c>
      <c r="CP52" s="1038"/>
      <c r="CQ52" s="1037">
        <v>132</v>
      </c>
      <c r="CR52" s="1038"/>
      <c r="CS52" s="1037">
        <v>132</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132</v>
      </c>
      <c r="EE52" s="1038"/>
      <c r="EF52" s="1037">
        <v>132</v>
      </c>
      <c r="EG52" s="1038"/>
      <c r="EH52" s="1037">
        <v>132</v>
      </c>
      <c r="EI52" s="1038"/>
      <c r="EJ52" s="1037">
        <v>132</v>
      </c>
      <c r="EK52" s="1038"/>
      <c r="EL52" s="1037">
        <v>132</v>
      </c>
      <c r="EM52" s="1038"/>
      <c r="EN52" s="1037">
        <v>132</v>
      </c>
      <c r="EO52" s="1038"/>
      <c r="EP52" s="1037">
        <v>132</v>
      </c>
      <c r="EQ52" s="1038"/>
      <c r="ER52" s="1037">
        <v>132</v>
      </c>
      <c r="ES52" s="1038"/>
      <c r="ET52" s="1037">
        <v>132</v>
      </c>
      <c r="EU52" s="1038"/>
      <c r="EV52" s="1037">
        <v>132</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12</v>
      </c>
      <c r="FW52" s="1048">
        <v>132</v>
      </c>
      <c r="FX52" s="1049">
        <v>11</v>
      </c>
      <c r="FY52" s="1048">
        <v>132</v>
      </c>
      <c r="FZ52" s="1049">
        <v>11</v>
      </c>
      <c r="GA52" s="1048">
        <v>132</v>
      </c>
      <c r="GB52" s="1050" t="s">
        <v>330</v>
      </c>
      <c r="GC52" s="1051">
        <v>132</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899</v>
      </c>
      <c r="Y53" s="1065"/>
      <c r="Z53" s="1064">
        <v>907</v>
      </c>
      <c r="AA53" s="1065"/>
      <c r="AB53" s="1064">
        <v>945</v>
      </c>
      <c r="AC53" s="1065"/>
      <c r="AD53" s="1064">
        <v>950</v>
      </c>
      <c r="AE53" s="1065"/>
      <c r="AF53" s="1064">
        <v>918</v>
      </c>
      <c r="AG53" s="1065"/>
      <c r="AH53" s="1064">
        <v>852</v>
      </c>
      <c r="AI53" s="1065"/>
      <c r="AJ53" s="1064">
        <v>832</v>
      </c>
      <c r="AK53" s="1065"/>
      <c r="AL53" s="1064">
        <v>805</v>
      </c>
      <c r="AM53" s="1065"/>
      <c r="AN53" s="1064">
        <v>761</v>
      </c>
      <c r="AO53" s="1065"/>
      <c r="AP53" s="1064">
        <v>714</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902</v>
      </c>
      <c r="CB53" s="1065"/>
      <c r="CC53" s="1064">
        <v>922</v>
      </c>
      <c r="CD53" s="1065"/>
      <c r="CE53" s="1064">
        <v>967</v>
      </c>
      <c r="CF53" s="1065"/>
      <c r="CG53" s="1064">
        <v>964</v>
      </c>
      <c r="CH53" s="1065"/>
      <c r="CI53" s="1064">
        <v>917</v>
      </c>
      <c r="CJ53" s="1065"/>
      <c r="CK53" s="1064">
        <v>817</v>
      </c>
      <c r="CL53" s="1065"/>
      <c r="CM53" s="1064">
        <v>810</v>
      </c>
      <c r="CN53" s="1065"/>
      <c r="CO53" s="1064">
        <v>786</v>
      </c>
      <c r="CP53" s="1065"/>
      <c r="CQ53" s="1064">
        <v>760</v>
      </c>
      <c r="CR53" s="1065"/>
      <c r="CS53" s="1064">
        <v>714</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1040</v>
      </c>
      <c r="EE53" s="1065"/>
      <c r="EF53" s="1064">
        <v>1086</v>
      </c>
      <c r="EG53" s="1065"/>
      <c r="EH53" s="1064">
        <v>1143</v>
      </c>
      <c r="EI53" s="1065"/>
      <c r="EJ53" s="1064">
        <v>1142</v>
      </c>
      <c r="EK53" s="1065"/>
      <c r="EL53" s="1064">
        <v>1076</v>
      </c>
      <c r="EM53" s="1065"/>
      <c r="EN53" s="1064">
        <v>972</v>
      </c>
      <c r="EO53" s="1065"/>
      <c r="EP53" s="1064">
        <v>848</v>
      </c>
      <c r="EQ53" s="1065"/>
      <c r="ER53" s="1064">
        <v>763</v>
      </c>
      <c r="ES53" s="1065"/>
      <c r="ET53" s="1064">
        <v>716</v>
      </c>
      <c r="EU53" s="1065"/>
      <c r="EV53" s="1064">
        <v>671</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438</v>
      </c>
      <c r="FS53" s="1072"/>
      <c r="FT53" s="1071"/>
      <c r="FU53" s="1073">
        <v>447</v>
      </c>
      <c r="FV53" s="1074">
        <v>12</v>
      </c>
      <c r="FW53" s="1075">
        <v>950</v>
      </c>
      <c r="FX53" s="1076">
        <v>11</v>
      </c>
      <c r="FY53" s="1075">
        <v>967</v>
      </c>
      <c r="FZ53" s="1076">
        <v>11</v>
      </c>
      <c r="GA53" s="1075">
        <v>1143</v>
      </c>
      <c r="GB53" s="1077" t="s">
        <v>330</v>
      </c>
      <c r="GC53" s="1075">
        <v>1143</v>
      </c>
      <c r="GD53" s="1077" t="s">
        <v>332</v>
      </c>
      <c r="GE53" s="1078">
        <v>447</v>
      </c>
      <c r="GF53" s="671"/>
      <c r="GG53" s="969"/>
      <c r="GH53" s="969"/>
      <c r="GI53" s="969"/>
      <c r="GJ53" s="932"/>
      <c r="GK53" s="404"/>
      <c r="GL53" s="1079">
        <v>10</v>
      </c>
      <c r="GM53" s="1080">
        <v>1</v>
      </c>
      <c r="GN53" s="1081">
        <v>0.92</v>
      </c>
      <c r="GO53" s="1082">
        <v>5.2</v>
      </c>
      <c r="GP53" s="1082">
        <v>0</v>
      </c>
      <c r="GQ53" s="1083">
        <v>5.2</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54.4</v>
      </c>
      <c r="Y54" s="1092"/>
      <c r="Z54" s="1091">
        <v>54.9</v>
      </c>
      <c r="AA54" s="1092"/>
      <c r="AB54" s="1091">
        <v>57.2</v>
      </c>
      <c r="AC54" s="1092"/>
      <c r="AD54" s="1091">
        <v>57.5</v>
      </c>
      <c r="AE54" s="1092"/>
      <c r="AF54" s="1091">
        <v>55.5</v>
      </c>
      <c r="AG54" s="1092"/>
      <c r="AH54" s="1091">
        <v>51.5</v>
      </c>
      <c r="AI54" s="1092"/>
      <c r="AJ54" s="1091">
        <v>50.3</v>
      </c>
      <c r="AK54" s="1092"/>
      <c r="AL54" s="1091">
        <v>48.7</v>
      </c>
      <c r="AM54" s="1092"/>
      <c r="AN54" s="1091">
        <v>46</v>
      </c>
      <c r="AO54" s="1092"/>
      <c r="AP54" s="1091">
        <v>43.2</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54.6</v>
      </c>
      <c r="CB54" s="1092"/>
      <c r="CC54" s="1091">
        <v>55.8</v>
      </c>
      <c r="CD54" s="1092"/>
      <c r="CE54" s="1091">
        <v>58.5</v>
      </c>
      <c r="CF54" s="1092"/>
      <c r="CG54" s="1091">
        <v>58.3</v>
      </c>
      <c r="CH54" s="1092"/>
      <c r="CI54" s="1091">
        <v>55.5</v>
      </c>
      <c r="CJ54" s="1092"/>
      <c r="CK54" s="1091">
        <v>49.4</v>
      </c>
      <c r="CL54" s="1092"/>
      <c r="CM54" s="1091">
        <v>49</v>
      </c>
      <c r="CN54" s="1092"/>
      <c r="CO54" s="1091">
        <v>47.5</v>
      </c>
      <c r="CP54" s="1092"/>
      <c r="CQ54" s="1091">
        <v>46</v>
      </c>
      <c r="CR54" s="1092"/>
      <c r="CS54" s="1091">
        <v>43.2</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62.9</v>
      </c>
      <c r="EE54" s="1092"/>
      <c r="EF54" s="1091">
        <v>65.7</v>
      </c>
      <c r="EG54" s="1092"/>
      <c r="EH54" s="1091">
        <v>69.099999999999994</v>
      </c>
      <c r="EI54" s="1092"/>
      <c r="EJ54" s="1091">
        <v>69.099999999999994</v>
      </c>
      <c r="EK54" s="1092"/>
      <c r="EL54" s="1091">
        <v>65.099999999999994</v>
      </c>
      <c r="EM54" s="1092"/>
      <c r="EN54" s="1091">
        <v>58.8</v>
      </c>
      <c r="EO54" s="1092"/>
      <c r="EP54" s="1091">
        <v>51.3</v>
      </c>
      <c r="EQ54" s="1092"/>
      <c r="ER54" s="1091">
        <v>46.2</v>
      </c>
      <c r="ES54" s="1092"/>
      <c r="ET54" s="1091">
        <v>43.3</v>
      </c>
      <c r="EU54" s="1092"/>
      <c r="EV54" s="1091">
        <v>40.6</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26.5</v>
      </c>
      <c r="FS54" s="1095"/>
      <c r="FT54" s="1092"/>
      <c r="FU54" s="1096">
        <v>27</v>
      </c>
      <c r="FV54" s="1095"/>
      <c r="FW54" s="1091">
        <f>IF(面積=0,0,ROUND(FW53/面積,1))</f>
        <v>57.5</v>
      </c>
      <c r="FX54" s="1095"/>
      <c r="FY54" s="1091">
        <f>IF(面積=0,0,ROUND(FY53/面積,1))</f>
        <v>58.5</v>
      </c>
      <c r="FZ54" s="1095"/>
      <c r="GA54" s="1091">
        <f>IF(面積=0,0,ROUND(GA53/面積,1))</f>
        <v>69.099999999999994</v>
      </c>
      <c r="GB54" s="1095"/>
      <c r="GC54" s="1091">
        <f>IF(面積=0,0,ROUND(GC53/面積,1))</f>
        <v>69.099999999999994</v>
      </c>
      <c r="GD54" s="1095"/>
      <c r="GE54" s="1093">
        <f>IF(面積=0,0,ROUND(GE53/面積,1))</f>
        <v>27</v>
      </c>
      <c r="GF54" s="671"/>
      <c r="GG54" s="916"/>
      <c r="GH54" s="916"/>
      <c r="GI54" s="916"/>
      <c r="GJ54" s="567"/>
      <c r="GK54" s="566"/>
      <c r="GL54" s="1079">
        <v>11</v>
      </c>
      <c r="GM54" s="1080">
        <v>2</v>
      </c>
      <c r="GN54" s="1081">
        <v>0.85</v>
      </c>
      <c r="GO54" s="1082">
        <v>4.8</v>
      </c>
      <c r="GP54" s="1082">
        <v>0</v>
      </c>
      <c r="GQ54" s="1083">
        <v>4.8</v>
      </c>
      <c r="GR54" s="517"/>
      <c r="GS54" s="567"/>
      <c r="GT54" s="840"/>
      <c r="GU54" s="1097" t="s">
        <v>486</v>
      </c>
      <c r="GV54" s="1097"/>
      <c r="GW54" s="1097"/>
      <c r="GX54" s="1097"/>
      <c r="GY54" s="758"/>
      <c r="GZ54" s="1098"/>
      <c r="HA54" s="1099">
        <v>4.9000000000000004</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4.4000000000000004</v>
      </c>
      <c r="GP55" s="1082">
        <v>0</v>
      </c>
      <c r="GQ55" s="1083">
        <v>4.4000000000000004</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562</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4</v>
      </c>
      <c r="GP56" s="1082">
        <v>0</v>
      </c>
      <c r="GQ56" s="1083">
        <v>4</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3.7</v>
      </c>
      <c r="GP57" s="1082">
        <v>0</v>
      </c>
      <c r="GQ57" s="1083">
        <v>3.7</v>
      </c>
      <c r="GR57" s="932"/>
      <c r="GS57" s="516"/>
      <c r="GT57" s="1243"/>
      <c r="GU57" s="565"/>
      <c r="GV57" s="565"/>
      <c r="GW57" s="487"/>
      <c r="GX57" s="1246"/>
      <c r="GY57" s="566"/>
      <c r="GZ57" s="487"/>
      <c r="HA57" s="565"/>
      <c r="HB57" s="487"/>
      <c r="HC57" s="1031"/>
    </row>
    <row r="58" spans="1:212" ht="20.100000000000001" customHeight="1">
      <c r="A58" s="1141" t="s">
        <v>771</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60</v>
      </c>
      <c r="Y58" s="1147"/>
      <c r="Z58" s="1146">
        <v>60</v>
      </c>
      <c r="AA58" s="1147"/>
      <c r="AB58" s="1146">
        <v>60</v>
      </c>
      <c r="AC58" s="1147"/>
      <c r="AD58" s="1146">
        <v>60</v>
      </c>
      <c r="AE58" s="1147"/>
      <c r="AF58" s="1146">
        <v>60</v>
      </c>
      <c r="AG58" s="1147"/>
      <c r="AH58" s="1146">
        <v>60</v>
      </c>
      <c r="AI58" s="1147"/>
      <c r="AJ58" s="1146">
        <v>60</v>
      </c>
      <c r="AK58" s="1147"/>
      <c r="AL58" s="1146">
        <v>60</v>
      </c>
      <c r="AM58" s="1147"/>
      <c r="AN58" s="1146">
        <v>60</v>
      </c>
      <c r="AO58" s="1147"/>
      <c r="AP58" s="1146">
        <v>60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60</v>
      </c>
      <c r="CB58" s="1147"/>
      <c r="CC58" s="1146">
        <v>60</v>
      </c>
      <c r="CD58" s="1147"/>
      <c r="CE58" s="1146">
        <v>60</v>
      </c>
      <c r="CF58" s="1147"/>
      <c r="CG58" s="1146">
        <v>60</v>
      </c>
      <c r="CH58" s="1147"/>
      <c r="CI58" s="1146">
        <v>60</v>
      </c>
      <c r="CJ58" s="1147"/>
      <c r="CK58" s="1146">
        <v>60</v>
      </c>
      <c r="CL58" s="1147"/>
      <c r="CM58" s="1146">
        <v>60</v>
      </c>
      <c r="CN58" s="1147"/>
      <c r="CO58" s="1146">
        <v>60</v>
      </c>
      <c r="CP58" s="1147"/>
      <c r="CQ58" s="1146">
        <v>60</v>
      </c>
      <c r="CR58" s="1147"/>
      <c r="CS58" s="1146">
        <v>60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60</v>
      </c>
      <c r="EE58" s="1147"/>
      <c r="EF58" s="1146">
        <v>60</v>
      </c>
      <c r="EG58" s="1147"/>
      <c r="EH58" s="1146">
        <v>60</v>
      </c>
      <c r="EI58" s="1147"/>
      <c r="EJ58" s="1146">
        <v>60</v>
      </c>
      <c r="EK58" s="1147"/>
      <c r="EL58" s="1146">
        <v>60</v>
      </c>
      <c r="EM58" s="1147"/>
      <c r="EN58" s="1146">
        <v>60</v>
      </c>
      <c r="EO58" s="1147"/>
      <c r="EP58" s="1146">
        <v>60</v>
      </c>
      <c r="EQ58" s="1147"/>
      <c r="ER58" s="1146">
        <v>60</v>
      </c>
      <c r="ES58" s="1147"/>
      <c r="ET58" s="1146">
        <v>60</v>
      </c>
      <c r="EU58" s="1147"/>
      <c r="EV58" s="1146">
        <v>60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60</v>
      </c>
      <c r="FS58" s="1150"/>
      <c r="FT58" s="1149"/>
      <c r="FU58" s="1151">
        <v>60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3.4</v>
      </c>
      <c r="GP58" s="1082">
        <v>0</v>
      </c>
      <c r="GQ58" s="1083">
        <v>3.4</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t="s">
        <v>773</v>
      </c>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23.8</v>
      </c>
      <c r="X59" s="574">
        <v>476</v>
      </c>
      <c r="Y59" s="1163">
        <v>24.7</v>
      </c>
      <c r="Z59" s="574">
        <v>494</v>
      </c>
      <c r="AA59" s="1163">
        <v>25</v>
      </c>
      <c r="AB59" s="574">
        <v>500</v>
      </c>
      <c r="AC59" s="1163">
        <v>26.3</v>
      </c>
      <c r="AD59" s="574">
        <v>526</v>
      </c>
      <c r="AE59" s="1163">
        <v>25.9</v>
      </c>
      <c r="AF59" s="574">
        <v>518</v>
      </c>
      <c r="AG59" s="1163">
        <v>25.2</v>
      </c>
      <c r="AH59" s="574">
        <v>504</v>
      </c>
      <c r="AI59" s="1163">
        <v>25.2</v>
      </c>
      <c r="AJ59" s="574">
        <v>504</v>
      </c>
      <c r="AK59" s="1163">
        <v>24.9</v>
      </c>
      <c r="AL59" s="574">
        <v>498</v>
      </c>
      <c r="AM59" s="1163">
        <v>24.2</v>
      </c>
      <c r="AN59" s="574">
        <v>484</v>
      </c>
      <c r="AO59" s="1163">
        <v>23.5</v>
      </c>
      <c r="AP59" s="574">
        <v>470</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t="s">
        <v>773</v>
      </c>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18.7</v>
      </c>
      <c r="CA59" s="574">
        <v>374</v>
      </c>
      <c r="CB59" s="1163">
        <v>19.5</v>
      </c>
      <c r="CC59" s="574">
        <v>390</v>
      </c>
      <c r="CD59" s="1163">
        <v>20.399999999999999</v>
      </c>
      <c r="CE59" s="574">
        <v>408</v>
      </c>
      <c r="CF59" s="1163">
        <v>21.1</v>
      </c>
      <c r="CG59" s="574">
        <v>422</v>
      </c>
      <c r="CH59" s="1163">
        <v>21.5</v>
      </c>
      <c r="CI59" s="574">
        <v>430</v>
      </c>
      <c r="CJ59" s="1163">
        <v>20.8</v>
      </c>
      <c r="CK59" s="574">
        <v>416</v>
      </c>
      <c r="CL59" s="1163">
        <v>20.6</v>
      </c>
      <c r="CM59" s="574">
        <v>412</v>
      </c>
      <c r="CN59" s="1163">
        <v>20.399999999999999</v>
      </c>
      <c r="CO59" s="574">
        <v>408</v>
      </c>
      <c r="CP59" s="1163">
        <v>20.399999999999999</v>
      </c>
      <c r="CQ59" s="574">
        <v>408</v>
      </c>
      <c r="CR59" s="1163">
        <v>19.7</v>
      </c>
      <c r="CS59" s="574">
        <v>394</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t="s">
        <v>773</v>
      </c>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9.9</v>
      </c>
      <c r="ED59" s="574">
        <v>198</v>
      </c>
      <c r="EE59" s="1163">
        <v>11</v>
      </c>
      <c r="EF59" s="574">
        <v>220</v>
      </c>
      <c r="EG59" s="1163">
        <v>11.1</v>
      </c>
      <c r="EH59" s="574">
        <v>222</v>
      </c>
      <c r="EI59" s="1163">
        <v>11.5</v>
      </c>
      <c r="EJ59" s="574">
        <v>230</v>
      </c>
      <c r="EK59" s="1163">
        <v>11.2</v>
      </c>
      <c r="EL59" s="574">
        <v>224</v>
      </c>
      <c r="EM59" s="1163">
        <v>10.7</v>
      </c>
      <c r="EN59" s="574">
        <v>214</v>
      </c>
      <c r="EO59" s="1163">
        <v>10.5</v>
      </c>
      <c r="EP59" s="574">
        <v>210</v>
      </c>
      <c r="EQ59" s="1163">
        <v>10.6</v>
      </c>
      <c r="ER59" s="574">
        <v>212</v>
      </c>
      <c r="ES59" s="1163">
        <v>10.1</v>
      </c>
      <c r="ET59" s="574">
        <v>202</v>
      </c>
      <c r="EU59" s="1163">
        <v>10.6</v>
      </c>
      <c r="EV59" s="574">
        <v>212</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t="s">
        <v>773</v>
      </c>
      <c r="FN59" s="1161"/>
      <c r="FO59" s="1000"/>
      <c r="FP59" s="612">
        <v>9</v>
      </c>
      <c r="FQ59" s="1164">
        <v>26.1</v>
      </c>
      <c r="FR59" s="1165">
        <v>522</v>
      </c>
      <c r="FS59" s="1166">
        <v>9</v>
      </c>
      <c r="FT59" s="1164">
        <v>22.4</v>
      </c>
      <c r="FU59" s="1167">
        <v>448</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3.1</v>
      </c>
      <c r="GP59" s="1082">
        <v>0</v>
      </c>
      <c r="GQ59" s="1083">
        <v>3.1</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2.9</v>
      </c>
      <c r="GP60" s="1082">
        <v>0</v>
      </c>
      <c r="GQ60" s="1083">
        <v>2.9</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1375</v>
      </c>
      <c r="Y61" s="1184"/>
      <c r="Z61" s="1185">
        <v>1401</v>
      </c>
      <c r="AA61" s="1184"/>
      <c r="AB61" s="1185">
        <v>1445</v>
      </c>
      <c r="AC61" s="1184"/>
      <c r="AD61" s="1185">
        <v>1476</v>
      </c>
      <c r="AE61" s="1184"/>
      <c r="AF61" s="1185">
        <v>1436</v>
      </c>
      <c r="AG61" s="1184"/>
      <c r="AH61" s="1185">
        <v>1356</v>
      </c>
      <c r="AI61" s="1184"/>
      <c r="AJ61" s="1185">
        <v>1336</v>
      </c>
      <c r="AK61" s="1184"/>
      <c r="AL61" s="1185">
        <v>1303</v>
      </c>
      <c r="AM61" s="1184"/>
      <c r="AN61" s="1185">
        <v>1245</v>
      </c>
      <c r="AO61" s="1184"/>
      <c r="AP61" s="1185">
        <v>1184</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1276</v>
      </c>
      <c r="CB61" s="1184"/>
      <c r="CC61" s="1185">
        <v>1312</v>
      </c>
      <c r="CD61" s="1184"/>
      <c r="CE61" s="1185">
        <v>1375</v>
      </c>
      <c r="CF61" s="1184"/>
      <c r="CG61" s="1185">
        <v>1386</v>
      </c>
      <c r="CH61" s="1184"/>
      <c r="CI61" s="1185">
        <v>1347</v>
      </c>
      <c r="CJ61" s="1184"/>
      <c r="CK61" s="1185">
        <v>1233</v>
      </c>
      <c r="CL61" s="1184"/>
      <c r="CM61" s="1185">
        <v>1222</v>
      </c>
      <c r="CN61" s="1184"/>
      <c r="CO61" s="1185">
        <v>1194</v>
      </c>
      <c r="CP61" s="1184"/>
      <c r="CQ61" s="1185">
        <v>1168</v>
      </c>
      <c r="CR61" s="1184"/>
      <c r="CS61" s="1185">
        <v>1108</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1238</v>
      </c>
      <c r="EE61" s="1184"/>
      <c r="EF61" s="1185">
        <v>1306</v>
      </c>
      <c r="EG61" s="1184"/>
      <c r="EH61" s="1185">
        <v>1365</v>
      </c>
      <c r="EI61" s="1184"/>
      <c r="EJ61" s="1185">
        <v>1372</v>
      </c>
      <c r="EK61" s="1184"/>
      <c r="EL61" s="1185">
        <v>1300</v>
      </c>
      <c r="EM61" s="1184"/>
      <c r="EN61" s="1185">
        <v>1186</v>
      </c>
      <c r="EO61" s="1184"/>
      <c r="EP61" s="1185">
        <v>1058</v>
      </c>
      <c r="EQ61" s="1184"/>
      <c r="ER61" s="1185">
        <v>975</v>
      </c>
      <c r="ES61" s="1184"/>
      <c r="ET61" s="1185">
        <v>918</v>
      </c>
      <c r="EU61" s="1184"/>
      <c r="EV61" s="1185">
        <v>883</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960</v>
      </c>
      <c r="FS61" s="1190"/>
      <c r="FT61" s="1188"/>
      <c r="FU61" s="1191">
        <v>895</v>
      </c>
      <c r="FV61" s="1250" t="s">
        <v>774</v>
      </c>
      <c r="FW61" s="1251"/>
      <c r="FX61" s="1252" t="s">
        <v>774</v>
      </c>
      <c r="FY61" s="1251"/>
      <c r="FZ61" s="1252" t="s">
        <v>774</v>
      </c>
      <c r="GA61" s="1251"/>
      <c r="GB61" s="1252" t="s">
        <v>796</v>
      </c>
      <c r="GC61" s="1251"/>
      <c r="GD61" s="1252" t="s">
        <v>774</v>
      </c>
      <c r="GE61" s="1254"/>
      <c r="GF61" s="671"/>
      <c r="GG61" s="470"/>
      <c r="GH61" s="470"/>
      <c r="GI61" s="470"/>
      <c r="GJ61" s="470"/>
      <c r="GK61" s="473"/>
      <c r="GL61" s="1103">
        <v>18</v>
      </c>
      <c r="GM61" s="1192">
        <v>9</v>
      </c>
      <c r="GN61" s="1081">
        <v>0.47</v>
      </c>
      <c r="GO61" s="1082">
        <v>2.6</v>
      </c>
      <c r="GP61" s="1082">
        <v>0</v>
      </c>
      <c r="GQ61" s="1083">
        <v>2.6</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t="s">
        <v>777</v>
      </c>
      <c r="FN66" s="1221"/>
      <c r="FO66" s="1181"/>
      <c r="FP66" s="1187">
        <v>9</v>
      </c>
      <c r="FQ66" s="1222">
        <v>4.0999999999999996</v>
      </c>
      <c r="FR66" s="1223">
        <v>0.3</v>
      </c>
      <c r="FS66" s="1190">
        <v>9</v>
      </c>
      <c r="FT66" s="1222">
        <v>2.4</v>
      </c>
      <c r="FU66" s="1224">
        <v>0.2</v>
      </c>
      <c r="FV66" s="1225"/>
      <c r="FW66" s="1226"/>
      <c r="FX66" s="1226"/>
      <c r="FY66" s="1226"/>
      <c r="FZ66" s="1226"/>
      <c r="GA66" s="1226"/>
      <c r="GB66" s="1226"/>
      <c r="GC66" s="1227"/>
      <c r="GD66" s="1190"/>
      <c r="GE66" s="1228">
        <v>0.3</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t="s">
        <v>327</v>
      </c>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t="str">
        <f>$G68</f>
        <v>(C)室内全熱負荷以降の外気負荷等は、熱源容量計算用の基準別、時刻別の値です。外気負荷を含めた空調機の容量の計算等は別紙「ACU-2系統 空調機容量の計算」をご参照ください。</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t="str">
        <f>$G68</f>
        <v>(C)室内全熱負荷以降の外気負荷等は、熱源容量計算用の基準別、時刻別の値です。外気負荷を含めた空調機の容量の計算等は別紙「ACU-2系統 空調機容量の計算」をご参照ください。</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589</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592</v>
      </c>
      <c r="B3" s="385">
        <v>205</v>
      </c>
      <c r="C3" s="386" t="s">
        <v>593</v>
      </c>
      <c r="D3" s="387" t="s">
        <v>594</v>
      </c>
      <c r="E3" s="387"/>
      <c r="F3" s="387"/>
      <c r="G3" s="387"/>
      <c r="H3" s="387"/>
      <c r="I3" s="387"/>
      <c r="J3" s="388"/>
      <c r="K3" s="389" t="s">
        <v>338</v>
      </c>
      <c r="L3" s="390"/>
      <c r="M3" s="389" t="s">
        <v>339</v>
      </c>
      <c r="N3" s="390"/>
      <c r="O3" s="391" t="s">
        <v>800</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205</v>
      </c>
      <c r="BF3" s="386" t="s">
        <v>335</v>
      </c>
      <c r="BG3" s="398" t="s">
        <v>588</v>
      </c>
      <c r="BH3" s="398"/>
      <c r="BI3" s="398"/>
      <c r="BJ3" s="398"/>
      <c r="BK3" s="398"/>
      <c r="BL3" s="398"/>
      <c r="BM3" s="399"/>
      <c r="BN3" s="389" t="s">
        <v>338</v>
      </c>
      <c r="BO3" s="390"/>
      <c r="BP3" s="389" t="s">
        <v>339</v>
      </c>
      <c r="BQ3" s="390"/>
      <c r="BR3" s="391" t="s">
        <v>802</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595</v>
      </c>
      <c r="DH3" s="385">
        <v>205</v>
      </c>
      <c r="DI3" s="386" t="s">
        <v>335</v>
      </c>
      <c r="DJ3" s="398" t="s">
        <v>588</v>
      </c>
      <c r="DK3" s="398"/>
      <c r="DL3" s="398"/>
      <c r="DM3" s="398"/>
      <c r="DN3" s="398"/>
      <c r="DO3" s="398"/>
      <c r="DP3" s="399"/>
      <c r="DQ3" s="389" t="s">
        <v>596</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205</v>
      </c>
      <c r="FL3" s="386" t="s">
        <v>335</v>
      </c>
      <c r="FM3" s="398" t="s">
        <v>588</v>
      </c>
      <c r="FN3" s="398"/>
      <c r="FO3" s="398"/>
      <c r="FP3" s="398"/>
      <c r="FQ3" s="398"/>
      <c r="FR3" s="398"/>
      <c r="FS3" s="399"/>
      <c r="FT3" s="389" t="s">
        <v>338</v>
      </c>
      <c r="FU3" s="390"/>
      <c r="FV3" s="389" t="s">
        <v>339</v>
      </c>
      <c r="FW3" s="390"/>
      <c r="FX3" s="391" t="s">
        <v>806</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17.600000000000001</v>
      </c>
      <c r="E5" s="433" t="s">
        <v>350</v>
      </c>
      <c r="F5" s="434">
        <v>2.7</v>
      </c>
      <c r="G5" s="435" t="s">
        <v>351</v>
      </c>
      <c r="H5" s="436"/>
      <c r="I5" s="437">
        <v>47.6</v>
      </c>
      <c r="J5" s="438"/>
      <c r="K5" s="439">
        <v>60</v>
      </c>
      <c r="L5" s="440"/>
      <c r="M5" s="439">
        <v>20</v>
      </c>
      <c r="N5" s="440"/>
      <c r="O5" s="1470" t="s">
        <v>797</v>
      </c>
      <c r="P5" s="441"/>
      <c r="Q5" s="1471" t="s">
        <v>798</v>
      </c>
      <c r="R5" s="442"/>
      <c r="S5" s="1472" t="s">
        <v>799</v>
      </c>
      <c r="T5" s="443"/>
      <c r="U5" s="1473" t="s">
        <v>764</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17.600000000000001</v>
      </c>
      <c r="BH5" s="433" t="s">
        <v>350</v>
      </c>
      <c r="BI5" s="434">
        <v>2.7</v>
      </c>
      <c r="BJ5" s="435" t="s">
        <v>351</v>
      </c>
      <c r="BK5" s="436"/>
      <c r="BL5" s="437">
        <v>47.6</v>
      </c>
      <c r="BM5" s="438"/>
      <c r="BN5" s="439">
        <v>60</v>
      </c>
      <c r="BO5" s="440"/>
      <c r="BP5" s="439">
        <v>20</v>
      </c>
      <c r="BQ5" s="440"/>
      <c r="BR5" s="1470" t="s">
        <v>801</v>
      </c>
      <c r="BS5" s="441"/>
      <c r="BT5" s="1471" t="s">
        <v>755</v>
      </c>
      <c r="BU5" s="442"/>
      <c r="BV5" s="1472" t="s">
        <v>799</v>
      </c>
      <c r="BW5" s="443"/>
      <c r="BX5" s="1473" t="s">
        <v>764</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17.600000000000001</v>
      </c>
      <c r="DK5" s="433" t="s">
        <v>350</v>
      </c>
      <c r="DL5" s="434">
        <v>2.7</v>
      </c>
      <c r="DM5" s="435" t="s">
        <v>351</v>
      </c>
      <c r="DN5" s="436"/>
      <c r="DO5" s="437">
        <v>47.6</v>
      </c>
      <c r="DP5" s="438"/>
      <c r="DQ5" s="439">
        <v>60</v>
      </c>
      <c r="DR5" s="440"/>
      <c r="DS5" s="439">
        <v>20</v>
      </c>
      <c r="DT5" s="440"/>
      <c r="DU5" s="1470" t="s">
        <v>762</v>
      </c>
      <c r="DV5" s="441"/>
      <c r="DW5" s="1471" t="s">
        <v>755</v>
      </c>
      <c r="DX5" s="442"/>
      <c r="DY5" s="1472" t="s">
        <v>799</v>
      </c>
      <c r="DZ5" s="443"/>
      <c r="EA5" s="1473" t="s">
        <v>764</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17.600000000000001</v>
      </c>
      <c r="FN5" s="433" t="s">
        <v>350</v>
      </c>
      <c r="FO5" s="434">
        <v>2.7</v>
      </c>
      <c r="FP5" s="435" t="s">
        <v>351</v>
      </c>
      <c r="FQ5" s="436"/>
      <c r="FR5" s="437">
        <v>47.6</v>
      </c>
      <c r="FS5" s="438"/>
      <c r="FT5" s="439">
        <v>60</v>
      </c>
      <c r="FU5" s="440"/>
      <c r="FV5" s="439">
        <v>20</v>
      </c>
      <c r="FW5" s="440"/>
      <c r="FX5" s="1470" t="s">
        <v>803</v>
      </c>
      <c r="FY5" s="441"/>
      <c r="FZ5" s="1471" t="s">
        <v>804</v>
      </c>
      <c r="GA5" s="442"/>
      <c r="GB5" s="1472" t="s">
        <v>805</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575</v>
      </c>
      <c r="E9" s="522" t="s">
        <v>576</v>
      </c>
      <c r="F9" s="523" t="s">
        <v>265</v>
      </c>
      <c r="G9" s="524" t="s">
        <v>577</v>
      </c>
      <c r="H9" s="525" t="s">
        <v>578</v>
      </c>
      <c r="I9" s="526" t="s">
        <v>268</v>
      </c>
      <c r="J9" s="525" t="s">
        <v>578</v>
      </c>
      <c r="K9" s="526" t="s">
        <v>268</v>
      </c>
      <c r="L9" s="525" t="s">
        <v>578</v>
      </c>
      <c r="M9" s="526" t="s">
        <v>268</v>
      </c>
      <c r="N9" s="525" t="s">
        <v>578</v>
      </c>
      <c r="O9" s="526" t="s">
        <v>268</v>
      </c>
      <c r="P9" s="525" t="s">
        <v>578</v>
      </c>
      <c r="Q9" s="526" t="s">
        <v>268</v>
      </c>
      <c r="R9" s="525" t="s">
        <v>578</v>
      </c>
      <c r="S9" s="526" t="s">
        <v>268</v>
      </c>
      <c r="T9" s="525" t="s">
        <v>578</v>
      </c>
      <c r="U9" s="526" t="s">
        <v>268</v>
      </c>
      <c r="V9" s="525" t="s">
        <v>578</v>
      </c>
      <c r="W9" s="526" t="s">
        <v>268</v>
      </c>
      <c r="X9" s="525" t="s">
        <v>578</v>
      </c>
      <c r="Y9" s="526" t="s">
        <v>268</v>
      </c>
      <c r="Z9" s="525" t="s">
        <v>578</v>
      </c>
      <c r="AA9" s="526" t="s">
        <v>268</v>
      </c>
      <c r="AB9" s="525" t="s">
        <v>578</v>
      </c>
      <c r="AC9" s="526" t="s">
        <v>268</v>
      </c>
      <c r="AD9" s="525" t="s">
        <v>578</v>
      </c>
      <c r="AE9" s="526" t="s">
        <v>268</v>
      </c>
      <c r="AF9" s="525" t="s">
        <v>578</v>
      </c>
      <c r="AG9" s="526" t="s">
        <v>268</v>
      </c>
      <c r="AH9" s="525" t="s">
        <v>578</v>
      </c>
      <c r="AI9" s="526" t="s">
        <v>268</v>
      </c>
      <c r="AJ9" s="525" t="s">
        <v>578</v>
      </c>
      <c r="AK9" s="526" t="s">
        <v>268</v>
      </c>
      <c r="AL9" s="525" t="s">
        <v>578</v>
      </c>
      <c r="AM9" s="526" t="s">
        <v>268</v>
      </c>
      <c r="AN9" s="525" t="s">
        <v>578</v>
      </c>
      <c r="AO9" s="526" t="s">
        <v>268</v>
      </c>
      <c r="AP9" s="525" t="s">
        <v>578</v>
      </c>
      <c r="AQ9" s="526" t="s">
        <v>268</v>
      </c>
      <c r="AR9" s="525" t="s">
        <v>578</v>
      </c>
      <c r="AS9" s="526" t="s">
        <v>268</v>
      </c>
      <c r="AT9" s="525" t="s">
        <v>578</v>
      </c>
      <c r="AU9" s="526" t="s">
        <v>268</v>
      </c>
      <c r="AV9" s="525" t="s">
        <v>578</v>
      </c>
      <c r="AW9" s="526" t="s">
        <v>268</v>
      </c>
      <c r="AX9" s="525" t="s">
        <v>578</v>
      </c>
      <c r="AY9" s="526" t="s">
        <v>268</v>
      </c>
      <c r="AZ9" s="525" t="s">
        <v>578</v>
      </c>
      <c r="BA9" s="526" t="s">
        <v>268</v>
      </c>
      <c r="BB9" s="527" t="s">
        <v>271</v>
      </c>
      <c r="BC9" s="490"/>
      <c r="BD9" s="519" t="s">
        <v>260</v>
      </c>
      <c r="BE9" s="520" t="s">
        <v>261</v>
      </c>
      <c r="BF9" s="521" t="s">
        <v>262</v>
      </c>
      <c r="BG9" s="521" t="s">
        <v>575</v>
      </c>
      <c r="BH9" s="522" t="s">
        <v>576</v>
      </c>
      <c r="BI9" s="523" t="s">
        <v>265</v>
      </c>
      <c r="BJ9" s="524" t="s">
        <v>577</v>
      </c>
      <c r="BK9" s="525" t="s">
        <v>578</v>
      </c>
      <c r="BL9" s="526" t="s">
        <v>268</v>
      </c>
      <c r="BM9" s="525" t="s">
        <v>578</v>
      </c>
      <c r="BN9" s="526" t="s">
        <v>268</v>
      </c>
      <c r="BO9" s="525" t="s">
        <v>578</v>
      </c>
      <c r="BP9" s="526" t="s">
        <v>268</v>
      </c>
      <c r="BQ9" s="525" t="s">
        <v>578</v>
      </c>
      <c r="BR9" s="526" t="s">
        <v>268</v>
      </c>
      <c r="BS9" s="525" t="s">
        <v>578</v>
      </c>
      <c r="BT9" s="526" t="s">
        <v>268</v>
      </c>
      <c r="BU9" s="525" t="s">
        <v>578</v>
      </c>
      <c r="BV9" s="526" t="s">
        <v>268</v>
      </c>
      <c r="BW9" s="525" t="s">
        <v>578</v>
      </c>
      <c r="BX9" s="526" t="s">
        <v>268</v>
      </c>
      <c r="BY9" s="525" t="s">
        <v>578</v>
      </c>
      <c r="BZ9" s="526" t="s">
        <v>268</v>
      </c>
      <c r="CA9" s="525" t="s">
        <v>578</v>
      </c>
      <c r="CB9" s="526" t="s">
        <v>268</v>
      </c>
      <c r="CC9" s="525" t="s">
        <v>578</v>
      </c>
      <c r="CD9" s="526" t="s">
        <v>268</v>
      </c>
      <c r="CE9" s="525" t="s">
        <v>578</v>
      </c>
      <c r="CF9" s="526" t="s">
        <v>268</v>
      </c>
      <c r="CG9" s="525" t="s">
        <v>578</v>
      </c>
      <c r="CH9" s="526" t="s">
        <v>268</v>
      </c>
      <c r="CI9" s="525" t="s">
        <v>578</v>
      </c>
      <c r="CJ9" s="526" t="s">
        <v>268</v>
      </c>
      <c r="CK9" s="525" t="s">
        <v>578</v>
      </c>
      <c r="CL9" s="526" t="s">
        <v>268</v>
      </c>
      <c r="CM9" s="525" t="s">
        <v>578</v>
      </c>
      <c r="CN9" s="526" t="s">
        <v>268</v>
      </c>
      <c r="CO9" s="525" t="s">
        <v>578</v>
      </c>
      <c r="CP9" s="526" t="s">
        <v>268</v>
      </c>
      <c r="CQ9" s="525" t="s">
        <v>578</v>
      </c>
      <c r="CR9" s="526" t="s">
        <v>268</v>
      </c>
      <c r="CS9" s="525" t="s">
        <v>578</v>
      </c>
      <c r="CT9" s="526" t="s">
        <v>268</v>
      </c>
      <c r="CU9" s="525" t="s">
        <v>578</v>
      </c>
      <c r="CV9" s="526" t="s">
        <v>268</v>
      </c>
      <c r="CW9" s="525" t="s">
        <v>578</v>
      </c>
      <c r="CX9" s="526" t="s">
        <v>268</v>
      </c>
      <c r="CY9" s="525" t="s">
        <v>578</v>
      </c>
      <c r="CZ9" s="526" t="s">
        <v>268</v>
      </c>
      <c r="DA9" s="525" t="s">
        <v>578</v>
      </c>
      <c r="DB9" s="526" t="s">
        <v>268</v>
      </c>
      <c r="DC9" s="525" t="s">
        <v>578</v>
      </c>
      <c r="DD9" s="526" t="s">
        <v>268</v>
      </c>
      <c r="DE9" s="527" t="s">
        <v>271</v>
      </c>
      <c r="DF9" s="490"/>
      <c r="DG9" s="519" t="s">
        <v>260</v>
      </c>
      <c r="DH9" s="520" t="s">
        <v>261</v>
      </c>
      <c r="DI9" s="521" t="s">
        <v>262</v>
      </c>
      <c r="DJ9" s="521" t="s">
        <v>575</v>
      </c>
      <c r="DK9" s="522" t="s">
        <v>576</v>
      </c>
      <c r="DL9" s="523" t="s">
        <v>265</v>
      </c>
      <c r="DM9" s="524" t="s">
        <v>577</v>
      </c>
      <c r="DN9" s="525" t="s">
        <v>578</v>
      </c>
      <c r="DO9" s="526" t="s">
        <v>268</v>
      </c>
      <c r="DP9" s="525" t="s">
        <v>578</v>
      </c>
      <c r="DQ9" s="526" t="s">
        <v>268</v>
      </c>
      <c r="DR9" s="525" t="s">
        <v>578</v>
      </c>
      <c r="DS9" s="526" t="s">
        <v>268</v>
      </c>
      <c r="DT9" s="525" t="s">
        <v>578</v>
      </c>
      <c r="DU9" s="526" t="s">
        <v>268</v>
      </c>
      <c r="DV9" s="525" t="s">
        <v>578</v>
      </c>
      <c r="DW9" s="526" t="s">
        <v>268</v>
      </c>
      <c r="DX9" s="525" t="s">
        <v>578</v>
      </c>
      <c r="DY9" s="526" t="s">
        <v>268</v>
      </c>
      <c r="DZ9" s="525" t="s">
        <v>578</v>
      </c>
      <c r="EA9" s="526" t="s">
        <v>268</v>
      </c>
      <c r="EB9" s="525" t="s">
        <v>578</v>
      </c>
      <c r="EC9" s="526" t="s">
        <v>268</v>
      </c>
      <c r="ED9" s="525" t="s">
        <v>578</v>
      </c>
      <c r="EE9" s="526" t="s">
        <v>268</v>
      </c>
      <c r="EF9" s="525" t="s">
        <v>578</v>
      </c>
      <c r="EG9" s="526" t="s">
        <v>268</v>
      </c>
      <c r="EH9" s="525" t="s">
        <v>578</v>
      </c>
      <c r="EI9" s="526" t="s">
        <v>268</v>
      </c>
      <c r="EJ9" s="525" t="s">
        <v>578</v>
      </c>
      <c r="EK9" s="526" t="s">
        <v>268</v>
      </c>
      <c r="EL9" s="525" t="s">
        <v>578</v>
      </c>
      <c r="EM9" s="526" t="s">
        <v>268</v>
      </c>
      <c r="EN9" s="525" t="s">
        <v>578</v>
      </c>
      <c r="EO9" s="526" t="s">
        <v>268</v>
      </c>
      <c r="EP9" s="525" t="s">
        <v>578</v>
      </c>
      <c r="EQ9" s="526" t="s">
        <v>268</v>
      </c>
      <c r="ER9" s="525" t="s">
        <v>578</v>
      </c>
      <c r="ES9" s="526" t="s">
        <v>268</v>
      </c>
      <c r="ET9" s="525" t="s">
        <v>578</v>
      </c>
      <c r="EU9" s="526" t="s">
        <v>268</v>
      </c>
      <c r="EV9" s="525" t="s">
        <v>578</v>
      </c>
      <c r="EW9" s="526" t="s">
        <v>268</v>
      </c>
      <c r="EX9" s="525" t="s">
        <v>578</v>
      </c>
      <c r="EY9" s="526" t="s">
        <v>268</v>
      </c>
      <c r="EZ9" s="525" t="s">
        <v>578</v>
      </c>
      <c r="FA9" s="526" t="s">
        <v>268</v>
      </c>
      <c r="FB9" s="525" t="s">
        <v>578</v>
      </c>
      <c r="FC9" s="526" t="s">
        <v>268</v>
      </c>
      <c r="FD9" s="525" t="s">
        <v>578</v>
      </c>
      <c r="FE9" s="526" t="s">
        <v>268</v>
      </c>
      <c r="FF9" s="525" t="s">
        <v>578</v>
      </c>
      <c r="FG9" s="526" t="s">
        <v>268</v>
      </c>
      <c r="FH9" s="527" t="s">
        <v>271</v>
      </c>
      <c r="FI9" s="528"/>
      <c r="FJ9" s="529" t="s">
        <v>260</v>
      </c>
      <c r="FK9" s="520" t="s">
        <v>261</v>
      </c>
      <c r="FL9" s="521" t="s">
        <v>262</v>
      </c>
      <c r="FM9" s="521" t="s">
        <v>575</v>
      </c>
      <c r="FN9" s="522" t="s">
        <v>576</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77</v>
      </c>
      <c r="D10" s="542">
        <f>ROUND(5.6*0.85,2)</f>
        <v>4.76</v>
      </c>
      <c r="E10" s="540" t="s">
        <v>326</v>
      </c>
      <c r="F10" s="541" t="s">
        <v>197</v>
      </c>
      <c r="G10" s="543">
        <v>0</v>
      </c>
      <c r="H10" s="544">
        <f>ROUND(ROUND(5.6*0.85,2)*0.34*0,0)</f>
        <v>0</v>
      </c>
      <c r="I10" s="545">
        <v>0</v>
      </c>
      <c r="J10" s="546">
        <f>ROUND(ROUND(5.6*0.85,2)*0.34*0,0)</f>
        <v>0</v>
      </c>
      <c r="K10" s="547">
        <v>0</v>
      </c>
      <c r="L10" s="546">
        <f>ROUND(ROUND(5.6*0.85,2)*0.34*0,0)</f>
        <v>0</v>
      </c>
      <c r="M10" s="547">
        <v>0</v>
      </c>
      <c r="N10" s="546">
        <f>ROUND(ROUND(5.6*0.85,2)*0.34*0,0)</f>
        <v>0</v>
      </c>
      <c r="O10" s="547">
        <v>0</v>
      </c>
      <c r="P10" s="546">
        <f>ROUND(ROUND(5.6*0.85,2)*0.34*0,0)</f>
        <v>0</v>
      </c>
      <c r="Q10" s="547">
        <v>0</v>
      </c>
      <c r="R10" s="546">
        <f>ROUND(ROUND(5.6*0.85,2)*0.34*0,0)</f>
        <v>0</v>
      </c>
      <c r="S10" s="547">
        <v>0</v>
      </c>
      <c r="T10" s="546">
        <f>ROUND(ROUND(5.6*0.85,2)*0.34*0,0)</f>
        <v>0</v>
      </c>
      <c r="U10" s="547">
        <v>0</v>
      </c>
      <c r="V10" s="546">
        <f>ROUND(ROUND(5.6*0.85,2)*0.34*0,0)</f>
        <v>0</v>
      </c>
      <c r="W10" s="547">
        <v>130</v>
      </c>
      <c r="X10" s="546">
        <f>ROUND(ROUND(5.6*0.85,2)*0.34*130,0)</f>
        <v>210</v>
      </c>
      <c r="Y10" s="547">
        <v>170</v>
      </c>
      <c r="Z10" s="546">
        <f>ROUND(ROUND(5.6*0.85,2)*0.34*170,0)</f>
        <v>275</v>
      </c>
      <c r="AA10" s="547">
        <v>193</v>
      </c>
      <c r="AB10" s="546">
        <f>ROUND(ROUND(5.6*0.85,2)*0.34*193,0)</f>
        <v>312</v>
      </c>
      <c r="AC10" s="547">
        <v>188</v>
      </c>
      <c r="AD10" s="546">
        <f>ROUND(ROUND(5.6*0.85,2)*0.34*188,0)</f>
        <v>304</v>
      </c>
      <c r="AE10" s="547">
        <v>153</v>
      </c>
      <c r="AF10" s="546">
        <f>ROUND(ROUND(5.6*0.85,2)*0.34*153,0)</f>
        <v>248</v>
      </c>
      <c r="AG10" s="547">
        <v>90</v>
      </c>
      <c r="AH10" s="546">
        <f>ROUND(ROUND(5.6*0.85,2)*0.34*90,0)</f>
        <v>146</v>
      </c>
      <c r="AI10" s="547">
        <v>80</v>
      </c>
      <c r="AJ10" s="546">
        <f>ROUND(ROUND(5.6*0.85,2)*0.34*80,0)</f>
        <v>129</v>
      </c>
      <c r="AK10" s="547">
        <v>63</v>
      </c>
      <c r="AL10" s="546">
        <f>ROUND(ROUND(5.6*0.85,2)*0.34*63,0)</f>
        <v>102</v>
      </c>
      <c r="AM10" s="547">
        <v>39</v>
      </c>
      <c r="AN10" s="546">
        <f>ROUND(ROUND(5.6*0.85,2)*0.34*39,0)</f>
        <v>63</v>
      </c>
      <c r="AO10" s="547">
        <v>12</v>
      </c>
      <c r="AP10" s="546">
        <f>ROUND(ROUND(5.6*0.85,2)*0.34*12,0)</f>
        <v>19</v>
      </c>
      <c r="AQ10" s="547">
        <v>0</v>
      </c>
      <c r="AR10" s="546">
        <f>ROUND(ROUND(5.6*0.85,2)*0.34*0,0)</f>
        <v>0</v>
      </c>
      <c r="AS10" s="547">
        <v>0</v>
      </c>
      <c r="AT10" s="546">
        <f>ROUND(ROUND(5.6*0.85,2)*0.34*0,0)</f>
        <v>0</v>
      </c>
      <c r="AU10" s="547">
        <v>0</v>
      </c>
      <c r="AV10" s="546">
        <f>ROUND(ROUND(5.6*0.85,2)*0.34*0,0)</f>
        <v>0</v>
      </c>
      <c r="AW10" s="547">
        <v>0</v>
      </c>
      <c r="AX10" s="546">
        <f>ROUND(ROUND(5.6*0.85,2)*0.34*0,0)</f>
        <v>0</v>
      </c>
      <c r="AY10" s="547">
        <v>0</v>
      </c>
      <c r="AZ10" s="546">
        <f>ROUND(ROUND(5.6*0.85,2)*0.34*0,0)</f>
        <v>0</v>
      </c>
      <c r="BA10" s="547">
        <v>0</v>
      </c>
      <c r="BB10" s="548">
        <f>ROUND(ROUND(5.6*0.85,2)*0.34*0,0)</f>
        <v>0</v>
      </c>
      <c r="BC10" s="549"/>
      <c r="BD10" s="539"/>
      <c r="BE10" s="540"/>
      <c r="BF10" s="541"/>
      <c r="BG10" s="542"/>
      <c r="BH10" s="540"/>
      <c r="BI10" s="541"/>
      <c r="BJ10" s="543">
        <v>0</v>
      </c>
      <c r="BK10" s="544">
        <f>ROUND(ROUND(5.6*0.85,2)*0.34*0,0)</f>
        <v>0</v>
      </c>
      <c r="BL10" s="545">
        <v>0</v>
      </c>
      <c r="BM10" s="546">
        <f>ROUND(ROUND(5.6*0.85,2)*0.34*0,0)</f>
        <v>0</v>
      </c>
      <c r="BN10" s="547">
        <v>0</v>
      </c>
      <c r="BO10" s="546">
        <f>ROUND(ROUND(5.6*0.85,2)*0.34*0,0)</f>
        <v>0</v>
      </c>
      <c r="BP10" s="547">
        <v>0</v>
      </c>
      <c r="BQ10" s="546">
        <f>ROUND(ROUND(5.6*0.85,2)*0.34*0,0)</f>
        <v>0</v>
      </c>
      <c r="BR10" s="547">
        <v>0</v>
      </c>
      <c r="BS10" s="546">
        <f>ROUND(ROUND(5.6*0.85,2)*0.34*0,0)</f>
        <v>0</v>
      </c>
      <c r="BT10" s="547">
        <v>0</v>
      </c>
      <c r="BU10" s="546">
        <f>ROUND(ROUND(5.6*0.85,2)*0.34*0,0)</f>
        <v>0</v>
      </c>
      <c r="BV10" s="547">
        <v>0</v>
      </c>
      <c r="BW10" s="546">
        <f>ROUND(ROUND(5.6*0.85,2)*0.34*0,0)</f>
        <v>0</v>
      </c>
      <c r="BX10" s="547">
        <v>0</v>
      </c>
      <c r="BY10" s="546">
        <f>ROUND(ROUND(5.6*0.85,2)*0.34*0,0)</f>
        <v>0</v>
      </c>
      <c r="BZ10" s="547">
        <v>141</v>
      </c>
      <c r="CA10" s="546">
        <f>ROUND(ROUND(5.6*0.85,2)*0.34*141,0)</f>
        <v>228</v>
      </c>
      <c r="CB10" s="547">
        <v>192</v>
      </c>
      <c r="CC10" s="546">
        <f>ROUND(ROUND(5.6*0.85,2)*0.34*192,0)</f>
        <v>311</v>
      </c>
      <c r="CD10" s="547">
        <v>216</v>
      </c>
      <c r="CE10" s="546">
        <f>ROUND(ROUND(5.6*0.85,2)*0.34*216,0)</f>
        <v>350</v>
      </c>
      <c r="CF10" s="547">
        <v>204</v>
      </c>
      <c r="CG10" s="546">
        <f>ROUND(ROUND(5.6*0.85,2)*0.34*204,0)</f>
        <v>330</v>
      </c>
      <c r="CH10" s="547">
        <v>155</v>
      </c>
      <c r="CI10" s="546">
        <f>ROUND(ROUND(5.6*0.85,2)*0.34*155,0)</f>
        <v>251</v>
      </c>
      <c r="CJ10" s="547">
        <v>65</v>
      </c>
      <c r="CK10" s="546">
        <f>ROUND(ROUND(5.6*0.85,2)*0.34*65,0)</f>
        <v>105</v>
      </c>
      <c r="CL10" s="547">
        <v>63</v>
      </c>
      <c r="CM10" s="546">
        <f>ROUND(ROUND(5.6*0.85,2)*0.34*63,0)</f>
        <v>102</v>
      </c>
      <c r="CN10" s="547">
        <v>51</v>
      </c>
      <c r="CO10" s="546">
        <f>ROUND(ROUND(5.6*0.85,2)*0.34*51,0)</f>
        <v>83</v>
      </c>
      <c r="CP10" s="547">
        <v>37</v>
      </c>
      <c r="CQ10" s="546">
        <f>ROUND(ROUND(5.6*0.85,2)*0.34*37,0)</f>
        <v>60</v>
      </c>
      <c r="CR10" s="547">
        <v>17</v>
      </c>
      <c r="CS10" s="546">
        <f>ROUND(ROUND(5.6*0.85,2)*0.34*17,0)</f>
        <v>28</v>
      </c>
      <c r="CT10" s="547">
        <v>0</v>
      </c>
      <c r="CU10" s="546">
        <f>ROUND(ROUND(5.6*0.85,2)*0.34*0,0)</f>
        <v>0</v>
      </c>
      <c r="CV10" s="547">
        <v>0</v>
      </c>
      <c r="CW10" s="546">
        <f>ROUND(ROUND(5.6*0.85,2)*0.34*0,0)</f>
        <v>0</v>
      </c>
      <c r="CX10" s="547">
        <v>0</v>
      </c>
      <c r="CY10" s="546">
        <f>ROUND(ROUND(5.6*0.85,2)*0.34*0,0)</f>
        <v>0</v>
      </c>
      <c r="CZ10" s="547">
        <v>0</v>
      </c>
      <c r="DA10" s="546">
        <f>ROUND(ROUND(5.6*0.85,2)*0.34*0,0)</f>
        <v>0</v>
      </c>
      <c r="DB10" s="547">
        <v>0</v>
      </c>
      <c r="DC10" s="546">
        <f>ROUND(ROUND(5.6*0.85,2)*0.34*0,0)</f>
        <v>0</v>
      </c>
      <c r="DD10" s="547">
        <v>0</v>
      </c>
      <c r="DE10" s="548">
        <f>ROUND(ROUND(5.6*0.85,2)*0.34*0,0)</f>
        <v>0</v>
      </c>
      <c r="DF10" s="549"/>
      <c r="DG10" s="539"/>
      <c r="DH10" s="540"/>
      <c r="DI10" s="541"/>
      <c r="DJ10" s="542"/>
      <c r="DK10" s="540"/>
      <c r="DL10" s="541"/>
      <c r="DM10" s="543">
        <v>0</v>
      </c>
      <c r="DN10" s="544">
        <f>ROUND(ROUND(5.6*0.85,2)*0.34*0,0)</f>
        <v>0</v>
      </c>
      <c r="DO10" s="545">
        <v>0</v>
      </c>
      <c r="DP10" s="546">
        <f>ROUND(ROUND(5.6*0.85,2)*0.34*0,0)</f>
        <v>0</v>
      </c>
      <c r="DQ10" s="547">
        <v>0</v>
      </c>
      <c r="DR10" s="546">
        <f>ROUND(ROUND(5.6*0.85,2)*0.34*0,0)</f>
        <v>0</v>
      </c>
      <c r="DS10" s="547">
        <v>0</v>
      </c>
      <c r="DT10" s="546">
        <f>ROUND(ROUND(5.6*0.85,2)*0.34*0,0)</f>
        <v>0</v>
      </c>
      <c r="DU10" s="547">
        <v>0</v>
      </c>
      <c r="DV10" s="546">
        <f>ROUND(ROUND(5.6*0.85,2)*0.34*0,0)</f>
        <v>0</v>
      </c>
      <c r="DW10" s="547">
        <v>0</v>
      </c>
      <c r="DX10" s="546">
        <f>ROUND(ROUND(5.6*0.85,2)*0.34*0,0)</f>
        <v>0</v>
      </c>
      <c r="DY10" s="547">
        <v>0</v>
      </c>
      <c r="DZ10" s="546">
        <f>ROUND(ROUND(5.6*0.85,2)*0.34*0,0)</f>
        <v>0</v>
      </c>
      <c r="EA10" s="547">
        <v>0</v>
      </c>
      <c r="EB10" s="546">
        <f>ROUND(ROUND(5.6*0.85,2)*0.34*0,0)</f>
        <v>0</v>
      </c>
      <c r="EC10" s="547">
        <v>302</v>
      </c>
      <c r="ED10" s="546">
        <f>ROUND(ROUND(5.6*0.85,2)*0.34*302,0)</f>
        <v>489</v>
      </c>
      <c r="EE10" s="547">
        <v>369</v>
      </c>
      <c r="EF10" s="546">
        <f>ROUND(ROUND(5.6*0.85,2)*0.34*369,0)</f>
        <v>597</v>
      </c>
      <c r="EG10" s="547">
        <v>403</v>
      </c>
      <c r="EH10" s="546">
        <f>ROUND(ROUND(5.6*0.85,2)*0.34*403,0)</f>
        <v>652</v>
      </c>
      <c r="EI10" s="547">
        <v>383</v>
      </c>
      <c r="EJ10" s="546">
        <f>ROUND(ROUND(5.6*0.85,2)*0.34*383,0)</f>
        <v>620</v>
      </c>
      <c r="EK10" s="547">
        <v>316</v>
      </c>
      <c r="EL10" s="546">
        <f>ROUND(ROUND(5.6*0.85,2)*0.34*316,0)</f>
        <v>511</v>
      </c>
      <c r="EM10" s="547">
        <v>220</v>
      </c>
      <c r="EN10" s="546">
        <f>ROUND(ROUND(5.6*0.85,2)*0.34*220,0)</f>
        <v>356</v>
      </c>
      <c r="EO10" s="547">
        <v>112</v>
      </c>
      <c r="EP10" s="546">
        <f>ROUND(ROUND(5.6*0.85,2)*0.34*112,0)</f>
        <v>181</v>
      </c>
      <c r="EQ10" s="547">
        <v>42</v>
      </c>
      <c r="ER10" s="546">
        <f>ROUND(ROUND(5.6*0.85,2)*0.34*42,0)</f>
        <v>68</v>
      </c>
      <c r="ES10" s="547">
        <v>19</v>
      </c>
      <c r="ET10" s="546">
        <f>ROUND(ROUND(5.6*0.85,2)*0.34*19,0)</f>
        <v>31</v>
      </c>
      <c r="EU10" s="547">
        <v>2</v>
      </c>
      <c r="EV10" s="546">
        <f>ROUND(ROUND(5.6*0.85,2)*0.34*2,0)</f>
        <v>3</v>
      </c>
      <c r="EW10" s="547">
        <v>0</v>
      </c>
      <c r="EX10" s="546">
        <f>ROUND(ROUND(5.6*0.85,2)*0.34*0,0)</f>
        <v>0</v>
      </c>
      <c r="EY10" s="547">
        <v>0</v>
      </c>
      <c r="EZ10" s="546">
        <f>ROUND(ROUND(5.6*0.85,2)*0.34*0,0)</f>
        <v>0</v>
      </c>
      <c r="FA10" s="547">
        <v>0</v>
      </c>
      <c r="FB10" s="546">
        <f>ROUND(ROUND(5.6*0.85,2)*0.34*0,0)</f>
        <v>0</v>
      </c>
      <c r="FC10" s="547">
        <v>0</v>
      </c>
      <c r="FD10" s="546">
        <f>ROUND(ROUND(5.6*0.85,2)*0.34*0,0)</f>
        <v>0</v>
      </c>
      <c r="FE10" s="547">
        <v>0</v>
      </c>
      <c r="FF10" s="546">
        <f>ROUND(ROUND(5.6*0.85,2)*0.34*0,0)</f>
        <v>0</v>
      </c>
      <c r="FG10" s="547">
        <v>0</v>
      </c>
      <c r="FH10" s="548">
        <f>ROUND(ROUND(5.6*0.85,2)*0.34*0,0)</f>
        <v>0</v>
      </c>
      <c r="FI10" s="550"/>
      <c r="FJ10" s="551"/>
      <c r="FK10" s="540"/>
      <c r="FL10" s="541"/>
      <c r="FM10" s="542"/>
      <c r="FN10" s="540"/>
      <c r="FO10" s="541"/>
      <c r="FP10" s="552"/>
      <c r="FQ10" s="545"/>
      <c r="FR10" s="544" t="s">
        <v>579</v>
      </c>
      <c r="FS10" s="553"/>
      <c r="FT10" s="545"/>
      <c r="FU10" s="554" t="s">
        <v>494</v>
      </c>
      <c r="FV10" s="1255" t="s">
        <v>276</v>
      </c>
      <c r="FW10" s="1282"/>
      <c r="FX10" s="1283" t="s">
        <v>277</v>
      </c>
      <c r="FY10" s="1284"/>
      <c r="FZ10" s="1285" t="s">
        <v>278</v>
      </c>
      <c r="GA10" s="1286"/>
      <c r="GB10" s="1287" t="s">
        <v>590</v>
      </c>
      <c r="GC10" s="1288"/>
      <c r="GD10" s="563" t="s">
        <v>591</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579</v>
      </c>
      <c r="FS11" s="578"/>
      <c r="FT11" s="573"/>
      <c r="FU11" s="579" t="s">
        <v>494</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579</v>
      </c>
      <c r="FS12" s="578"/>
      <c r="FT12" s="573"/>
      <c r="FU12" s="579" t="s">
        <v>579</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579</v>
      </c>
      <c r="FS13" s="613"/>
      <c r="FT13" s="608"/>
      <c r="FU13" s="614" t="s">
        <v>579</v>
      </c>
      <c r="FV13" s="580"/>
      <c r="FW13" s="581"/>
      <c r="FX13" s="582"/>
      <c r="FY13" s="583"/>
      <c r="FZ13" s="584"/>
      <c r="GA13" s="585"/>
      <c r="GB13" s="586"/>
      <c r="GC13" s="587"/>
      <c r="GD13" s="586"/>
      <c r="GE13" s="588"/>
      <c r="GF13" s="486"/>
      <c r="GG13" s="589"/>
      <c r="GH13" s="589"/>
      <c r="GI13" s="589"/>
      <c r="GJ13" s="404"/>
      <c r="GK13" s="615">
        <v>205</v>
      </c>
      <c r="GL13" s="616"/>
      <c r="GM13" s="617" t="s">
        <v>431</v>
      </c>
      <c r="GN13" s="618">
        <v>5.6</v>
      </c>
      <c r="GO13" s="619">
        <v>0</v>
      </c>
      <c r="GP13" s="619">
        <v>1</v>
      </c>
      <c r="GQ13" s="620">
        <v>0</v>
      </c>
      <c r="GR13" s="621">
        <v>5.6</v>
      </c>
      <c r="GS13" s="565"/>
      <c r="GT13" s="404"/>
      <c r="GU13" s="615">
        <v>205</v>
      </c>
      <c r="GV13" s="616"/>
      <c r="GW13" s="622" t="s">
        <v>432</v>
      </c>
      <c r="GX13" s="623">
        <v>5.6</v>
      </c>
      <c r="GY13" s="624"/>
      <c r="GZ13" s="625">
        <v>0.65</v>
      </c>
      <c r="HA13" s="626">
        <v>3.64</v>
      </c>
      <c r="HB13" s="627"/>
      <c r="HC13" s="517"/>
      <c r="HD13" s="782"/>
      <c r="HE13" s="428"/>
      <c r="HF13" s="377"/>
      <c r="HG13" s="377"/>
    </row>
    <row r="14" spans="1:353" ht="20.100000000000001" customHeight="1">
      <c r="A14" s="628"/>
      <c r="B14" s="629"/>
      <c r="C14" s="629"/>
      <c r="D14" s="630" t="s">
        <v>496</v>
      </c>
      <c r="E14" s="629"/>
      <c r="F14" s="629"/>
      <c r="G14" s="1263"/>
      <c r="H14" s="1264">
        <f>SUM(H10:H13)</f>
        <v>0</v>
      </c>
      <c r="I14" s="1271"/>
      <c r="J14" s="1264">
        <f>SUM(J10:J13)</f>
        <v>0</v>
      </c>
      <c r="K14" s="1271"/>
      <c r="L14" s="1264">
        <f>SUM(L10:L13)</f>
        <v>0</v>
      </c>
      <c r="M14" s="1271"/>
      <c r="N14" s="1264">
        <f>SUM(N10:N13)</f>
        <v>0</v>
      </c>
      <c r="O14" s="1271"/>
      <c r="P14" s="1264">
        <f>SUM(P10:P13)</f>
        <v>0</v>
      </c>
      <c r="Q14" s="1271"/>
      <c r="R14" s="1264">
        <f>SUM(R10:R13)</f>
        <v>0</v>
      </c>
      <c r="S14" s="1271"/>
      <c r="T14" s="1264">
        <f>SUM(T10:T13)</f>
        <v>0</v>
      </c>
      <c r="U14" s="1271"/>
      <c r="V14" s="1264">
        <f>SUM(V10:V13)</f>
        <v>0</v>
      </c>
      <c r="W14" s="1271"/>
      <c r="X14" s="1264">
        <f>SUM(X10:X13)</f>
        <v>210</v>
      </c>
      <c r="Y14" s="1271"/>
      <c r="Z14" s="1264">
        <f>SUM(Z10:Z13)</f>
        <v>275</v>
      </c>
      <c r="AA14" s="1271"/>
      <c r="AB14" s="1264">
        <f>SUM(AB10:AB13)</f>
        <v>312</v>
      </c>
      <c r="AC14" s="1271"/>
      <c r="AD14" s="1264">
        <f>SUM(AD10:AD13)</f>
        <v>304</v>
      </c>
      <c r="AE14" s="1271"/>
      <c r="AF14" s="1264">
        <f>SUM(AF10:AF13)</f>
        <v>248</v>
      </c>
      <c r="AG14" s="1271"/>
      <c r="AH14" s="1264">
        <f>SUM(AH10:AH13)</f>
        <v>146</v>
      </c>
      <c r="AI14" s="1271"/>
      <c r="AJ14" s="1264">
        <f>SUM(AJ10:AJ13)</f>
        <v>129</v>
      </c>
      <c r="AK14" s="1271"/>
      <c r="AL14" s="1264">
        <f>SUM(AL10:AL13)</f>
        <v>102</v>
      </c>
      <c r="AM14" s="1271"/>
      <c r="AN14" s="1264">
        <f>SUM(AN10:AN13)</f>
        <v>63</v>
      </c>
      <c r="AO14" s="1271"/>
      <c r="AP14" s="1264">
        <f>SUM(AP10:AP13)</f>
        <v>19</v>
      </c>
      <c r="AQ14" s="1271"/>
      <c r="AR14" s="1264">
        <f>SUM(AR10:AR13)</f>
        <v>0</v>
      </c>
      <c r="AS14" s="1271"/>
      <c r="AT14" s="1264">
        <f>SUM(AT10:AT13)</f>
        <v>0</v>
      </c>
      <c r="AU14" s="1271"/>
      <c r="AV14" s="1264">
        <f>SUM(AV10:AV13)</f>
        <v>0</v>
      </c>
      <c r="AW14" s="1271"/>
      <c r="AX14" s="1264">
        <f>SUM(AX10:AX13)</f>
        <v>0</v>
      </c>
      <c r="AY14" s="1271"/>
      <c r="AZ14" s="1264">
        <f>SUM(AZ10:AZ13)</f>
        <v>0</v>
      </c>
      <c r="BA14" s="1271"/>
      <c r="BB14" s="1266">
        <f>SUM(BB10:BB13)</f>
        <v>0</v>
      </c>
      <c r="BC14" s="635"/>
      <c r="BD14" s="628"/>
      <c r="BE14" s="629"/>
      <c r="BF14" s="629"/>
      <c r="BG14" s="630" t="s">
        <v>580</v>
      </c>
      <c r="BH14" s="629"/>
      <c r="BI14" s="629"/>
      <c r="BJ14" s="1263"/>
      <c r="BK14" s="1264">
        <f>SUM(BK10:BK13)</f>
        <v>0</v>
      </c>
      <c r="BL14" s="1271"/>
      <c r="BM14" s="1264">
        <f>SUM(BM10:BM13)</f>
        <v>0</v>
      </c>
      <c r="BN14" s="1271"/>
      <c r="BO14" s="1264">
        <f>SUM(BO10:BO13)</f>
        <v>0</v>
      </c>
      <c r="BP14" s="1271"/>
      <c r="BQ14" s="1264">
        <f>SUM(BQ10:BQ13)</f>
        <v>0</v>
      </c>
      <c r="BR14" s="1271"/>
      <c r="BS14" s="1264">
        <f>SUM(BS10:BS13)</f>
        <v>0</v>
      </c>
      <c r="BT14" s="1271"/>
      <c r="BU14" s="1264">
        <f>SUM(BU10:BU13)</f>
        <v>0</v>
      </c>
      <c r="BV14" s="1271"/>
      <c r="BW14" s="1264">
        <f>SUM(BW10:BW13)</f>
        <v>0</v>
      </c>
      <c r="BX14" s="1271"/>
      <c r="BY14" s="1264">
        <f>SUM(BY10:BY13)</f>
        <v>0</v>
      </c>
      <c r="BZ14" s="1271"/>
      <c r="CA14" s="1264">
        <f>SUM(CA10:CA13)</f>
        <v>228</v>
      </c>
      <c r="CB14" s="1271"/>
      <c r="CC14" s="1264">
        <f>SUM(CC10:CC13)</f>
        <v>311</v>
      </c>
      <c r="CD14" s="1271"/>
      <c r="CE14" s="1264">
        <f>SUM(CE10:CE13)</f>
        <v>350</v>
      </c>
      <c r="CF14" s="1271"/>
      <c r="CG14" s="1264">
        <f>SUM(CG10:CG13)</f>
        <v>330</v>
      </c>
      <c r="CH14" s="1271"/>
      <c r="CI14" s="1264">
        <f>SUM(CI10:CI13)</f>
        <v>251</v>
      </c>
      <c r="CJ14" s="1271"/>
      <c r="CK14" s="1264">
        <f>SUM(CK10:CK13)</f>
        <v>105</v>
      </c>
      <c r="CL14" s="1271"/>
      <c r="CM14" s="1264">
        <f>SUM(CM10:CM13)</f>
        <v>102</v>
      </c>
      <c r="CN14" s="1271"/>
      <c r="CO14" s="1264">
        <f>SUM(CO10:CO13)</f>
        <v>83</v>
      </c>
      <c r="CP14" s="1271"/>
      <c r="CQ14" s="1264">
        <f>SUM(CQ10:CQ13)</f>
        <v>60</v>
      </c>
      <c r="CR14" s="1271"/>
      <c r="CS14" s="1264">
        <f>SUM(CS10:CS13)</f>
        <v>28</v>
      </c>
      <c r="CT14" s="1271"/>
      <c r="CU14" s="1264">
        <f>SUM(CU10:CU13)</f>
        <v>0</v>
      </c>
      <c r="CV14" s="1271"/>
      <c r="CW14" s="1264">
        <f>SUM(CW10:CW13)</f>
        <v>0</v>
      </c>
      <c r="CX14" s="1271"/>
      <c r="CY14" s="1264">
        <f>SUM(CY10:CY13)</f>
        <v>0</v>
      </c>
      <c r="CZ14" s="1271"/>
      <c r="DA14" s="1264">
        <f>SUM(DA10:DA13)</f>
        <v>0</v>
      </c>
      <c r="DB14" s="1271"/>
      <c r="DC14" s="1264">
        <f>SUM(DC10:DC13)</f>
        <v>0</v>
      </c>
      <c r="DD14" s="1271"/>
      <c r="DE14" s="1266">
        <f>SUM(DE10:DE13)</f>
        <v>0</v>
      </c>
      <c r="DF14" s="635"/>
      <c r="DG14" s="628"/>
      <c r="DH14" s="629"/>
      <c r="DI14" s="629"/>
      <c r="DJ14" s="630" t="s">
        <v>496</v>
      </c>
      <c r="DK14" s="629"/>
      <c r="DL14" s="629"/>
      <c r="DM14" s="1263"/>
      <c r="DN14" s="1264">
        <f>SUM(DN10:DN13)</f>
        <v>0</v>
      </c>
      <c r="DO14" s="1271"/>
      <c r="DP14" s="1264">
        <f>SUM(DP10:DP13)</f>
        <v>0</v>
      </c>
      <c r="DQ14" s="1271"/>
      <c r="DR14" s="1264">
        <f>SUM(DR10:DR13)</f>
        <v>0</v>
      </c>
      <c r="DS14" s="1271"/>
      <c r="DT14" s="1264">
        <f>SUM(DT10:DT13)</f>
        <v>0</v>
      </c>
      <c r="DU14" s="1271"/>
      <c r="DV14" s="1264">
        <f>SUM(DV10:DV13)</f>
        <v>0</v>
      </c>
      <c r="DW14" s="1271"/>
      <c r="DX14" s="1264">
        <f>SUM(DX10:DX13)</f>
        <v>0</v>
      </c>
      <c r="DY14" s="1271"/>
      <c r="DZ14" s="1264">
        <f>SUM(DZ10:DZ13)</f>
        <v>0</v>
      </c>
      <c r="EA14" s="1271"/>
      <c r="EB14" s="1264">
        <f>SUM(EB10:EB13)</f>
        <v>0</v>
      </c>
      <c r="EC14" s="1271"/>
      <c r="ED14" s="1264">
        <f>SUM(ED10:ED13)</f>
        <v>489</v>
      </c>
      <c r="EE14" s="1271"/>
      <c r="EF14" s="1264">
        <f>SUM(EF10:EF13)</f>
        <v>597</v>
      </c>
      <c r="EG14" s="1271"/>
      <c r="EH14" s="1264">
        <f>SUM(EH10:EH13)</f>
        <v>652</v>
      </c>
      <c r="EI14" s="1271"/>
      <c r="EJ14" s="1264">
        <f>SUM(EJ10:EJ13)</f>
        <v>620</v>
      </c>
      <c r="EK14" s="1271"/>
      <c r="EL14" s="1264">
        <f>SUM(EL10:EL13)</f>
        <v>511</v>
      </c>
      <c r="EM14" s="1271"/>
      <c r="EN14" s="1264">
        <f>SUM(EN10:EN13)</f>
        <v>356</v>
      </c>
      <c r="EO14" s="1271"/>
      <c r="EP14" s="1264">
        <f>SUM(EP10:EP13)</f>
        <v>181</v>
      </c>
      <c r="EQ14" s="1271"/>
      <c r="ER14" s="1264">
        <f>SUM(ER10:ER13)</f>
        <v>68</v>
      </c>
      <c r="ES14" s="1271"/>
      <c r="ET14" s="1264">
        <f>SUM(ET10:ET13)</f>
        <v>31</v>
      </c>
      <c r="EU14" s="1271"/>
      <c r="EV14" s="1264">
        <f>SUM(EV10:EV13)</f>
        <v>3</v>
      </c>
      <c r="EW14" s="1271"/>
      <c r="EX14" s="1264">
        <f>SUM(EX10:EX13)</f>
        <v>0</v>
      </c>
      <c r="EY14" s="1271"/>
      <c r="EZ14" s="1264">
        <f>SUM(EZ10:EZ13)</f>
        <v>0</v>
      </c>
      <c r="FA14" s="1271"/>
      <c r="FB14" s="1264">
        <f>SUM(FB10:FB13)</f>
        <v>0</v>
      </c>
      <c r="FC14" s="1271"/>
      <c r="FD14" s="1264">
        <f>SUM(FD10:FD13)</f>
        <v>0</v>
      </c>
      <c r="FE14" s="1271"/>
      <c r="FF14" s="1264">
        <f>SUM(FF10:FF13)</f>
        <v>0</v>
      </c>
      <c r="FG14" s="1271"/>
      <c r="FH14" s="1266">
        <f>SUM(FH10:FH13)</f>
        <v>0</v>
      </c>
      <c r="FI14" s="636"/>
      <c r="FJ14" s="551"/>
      <c r="FK14" s="629"/>
      <c r="FL14" s="629"/>
      <c r="FM14" s="630" t="s">
        <v>581</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575</v>
      </c>
      <c r="E15" s="647" t="s">
        <v>285</v>
      </c>
      <c r="F15" s="648" t="s">
        <v>104</v>
      </c>
      <c r="G15" s="649" t="s">
        <v>582</v>
      </c>
      <c r="H15" s="650" t="s">
        <v>502</v>
      </c>
      <c r="I15" s="651" t="s">
        <v>288</v>
      </c>
      <c r="J15" s="650" t="s">
        <v>502</v>
      </c>
      <c r="K15" s="651" t="s">
        <v>288</v>
      </c>
      <c r="L15" s="650" t="s">
        <v>583</v>
      </c>
      <c r="M15" s="651" t="s">
        <v>288</v>
      </c>
      <c r="N15" s="650" t="s">
        <v>502</v>
      </c>
      <c r="O15" s="651" t="s">
        <v>288</v>
      </c>
      <c r="P15" s="650" t="s">
        <v>583</v>
      </c>
      <c r="Q15" s="651" t="s">
        <v>288</v>
      </c>
      <c r="R15" s="650" t="s">
        <v>502</v>
      </c>
      <c r="S15" s="651" t="s">
        <v>288</v>
      </c>
      <c r="T15" s="650" t="s">
        <v>584</v>
      </c>
      <c r="U15" s="651" t="s">
        <v>288</v>
      </c>
      <c r="V15" s="650" t="s">
        <v>502</v>
      </c>
      <c r="W15" s="651" t="s">
        <v>288</v>
      </c>
      <c r="X15" s="650" t="s">
        <v>583</v>
      </c>
      <c r="Y15" s="651" t="s">
        <v>288</v>
      </c>
      <c r="Z15" s="650" t="s">
        <v>583</v>
      </c>
      <c r="AA15" s="651" t="s">
        <v>288</v>
      </c>
      <c r="AB15" s="650" t="s">
        <v>502</v>
      </c>
      <c r="AC15" s="651" t="s">
        <v>288</v>
      </c>
      <c r="AD15" s="650" t="s">
        <v>502</v>
      </c>
      <c r="AE15" s="651" t="s">
        <v>288</v>
      </c>
      <c r="AF15" s="650" t="s">
        <v>583</v>
      </c>
      <c r="AG15" s="651" t="s">
        <v>288</v>
      </c>
      <c r="AH15" s="650" t="s">
        <v>583</v>
      </c>
      <c r="AI15" s="651" t="s">
        <v>288</v>
      </c>
      <c r="AJ15" s="650" t="s">
        <v>583</v>
      </c>
      <c r="AK15" s="651" t="s">
        <v>288</v>
      </c>
      <c r="AL15" s="650" t="s">
        <v>502</v>
      </c>
      <c r="AM15" s="651" t="s">
        <v>288</v>
      </c>
      <c r="AN15" s="650" t="s">
        <v>583</v>
      </c>
      <c r="AO15" s="651" t="s">
        <v>288</v>
      </c>
      <c r="AP15" s="650" t="s">
        <v>502</v>
      </c>
      <c r="AQ15" s="651" t="s">
        <v>288</v>
      </c>
      <c r="AR15" s="650" t="s">
        <v>583</v>
      </c>
      <c r="AS15" s="651" t="s">
        <v>288</v>
      </c>
      <c r="AT15" s="650" t="s">
        <v>502</v>
      </c>
      <c r="AU15" s="651" t="s">
        <v>288</v>
      </c>
      <c r="AV15" s="650" t="s">
        <v>502</v>
      </c>
      <c r="AW15" s="651" t="s">
        <v>288</v>
      </c>
      <c r="AX15" s="650" t="s">
        <v>502</v>
      </c>
      <c r="AY15" s="651" t="s">
        <v>288</v>
      </c>
      <c r="AZ15" s="650" t="s">
        <v>583</v>
      </c>
      <c r="BA15" s="651" t="s">
        <v>288</v>
      </c>
      <c r="BB15" s="652" t="s">
        <v>291</v>
      </c>
      <c r="BC15" s="653"/>
      <c r="BD15" s="519" t="s">
        <v>283</v>
      </c>
      <c r="BE15" s="645" t="s">
        <v>261</v>
      </c>
      <c r="BF15" s="646" t="s">
        <v>262</v>
      </c>
      <c r="BG15" s="647" t="s">
        <v>575</v>
      </c>
      <c r="BH15" s="647" t="s">
        <v>285</v>
      </c>
      <c r="BI15" s="648" t="s">
        <v>104</v>
      </c>
      <c r="BJ15" s="649" t="s">
        <v>503</v>
      </c>
      <c r="BK15" s="650" t="s">
        <v>583</v>
      </c>
      <c r="BL15" s="651" t="s">
        <v>288</v>
      </c>
      <c r="BM15" s="650" t="s">
        <v>502</v>
      </c>
      <c r="BN15" s="651" t="s">
        <v>288</v>
      </c>
      <c r="BO15" s="650" t="s">
        <v>583</v>
      </c>
      <c r="BP15" s="651" t="s">
        <v>288</v>
      </c>
      <c r="BQ15" s="650" t="s">
        <v>584</v>
      </c>
      <c r="BR15" s="651" t="s">
        <v>288</v>
      </c>
      <c r="BS15" s="650" t="s">
        <v>583</v>
      </c>
      <c r="BT15" s="651" t="s">
        <v>288</v>
      </c>
      <c r="BU15" s="650" t="s">
        <v>502</v>
      </c>
      <c r="BV15" s="651" t="s">
        <v>288</v>
      </c>
      <c r="BW15" s="650" t="s">
        <v>583</v>
      </c>
      <c r="BX15" s="651" t="s">
        <v>288</v>
      </c>
      <c r="BY15" s="650" t="s">
        <v>583</v>
      </c>
      <c r="BZ15" s="651" t="s">
        <v>288</v>
      </c>
      <c r="CA15" s="650" t="s">
        <v>584</v>
      </c>
      <c r="CB15" s="651" t="s">
        <v>288</v>
      </c>
      <c r="CC15" s="650" t="s">
        <v>502</v>
      </c>
      <c r="CD15" s="651" t="s">
        <v>288</v>
      </c>
      <c r="CE15" s="650" t="s">
        <v>502</v>
      </c>
      <c r="CF15" s="651" t="s">
        <v>288</v>
      </c>
      <c r="CG15" s="650" t="s">
        <v>583</v>
      </c>
      <c r="CH15" s="651" t="s">
        <v>288</v>
      </c>
      <c r="CI15" s="650" t="s">
        <v>502</v>
      </c>
      <c r="CJ15" s="651" t="s">
        <v>288</v>
      </c>
      <c r="CK15" s="650" t="s">
        <v>502</v>
      </c>
      <c r="CL15" s="651" t="s">
        <v>288</v>
      </c>
      <c r="CM15" s="650" t="s">
        <v>583</v>
      </c>
      <c r="CN15" s="651" t="s">
        <v>288</v>
      </c>
      <c r="CO15" s="650" t="s">
        <v>583</v>
      </c>
      <c r="CP15" s="651" t="s">
        <v>288</v>
      </c>
      <c r="CQ15" s="650" t="s">
        <v>583</v>
      </c>
      <c r="CR15" s="651" t="s">
        <v>288</v>
      </c>
      <c r="CS15" s="650" t="s">
        <v>584</v>
      </c>
      <c r="CT15" s="651" t="s">
        <v>288</v>
      </c>
      <c r="CU15" s="650" t="s">
        <v>502</v>
      </c>
      <c r="CV15" s="651" t="s">
        <v>288</v>
      </c>
      <c r="CW15" s="650" t="s">
        <v>502</v>
      </c>
      <c r="CX15" s="651" t="s">
        <v>288</v>
      </c>
      <c r="CY15" s="650" t="s">
        <v>584</v>
      </c>
      <c r="CZ15" s="651" t="s">
        <v>288</v>
      </c>
      <c r="DA15" s="650" t="s">
        <v>583</v>
      </c>
      <c r="DB15" s="651" t="s">
        <v>288</v>
      </c>
      <c r="DC15" s="650" t="s">
        <v>583</v>
      </c>
      <c r="DD15" s="651" t="s">
        <v>288</v>
      </c>
      <c r="DE15" s="652" t="s">
        <v>291</v>
      </c>
      <c r="DF15" s="653"/>
      <c r="DG15" s="519" t="s">
        <v>283</v>
      </c>
      <c r="DH15" s="645" t="s">
        <v>261</v>
      </c>
      <c r="DI15" s="646" t="s">
        <v>262</v>
      </c>
      <c r="DJ15" s="647" t="s">
        <v>585</v>
      </c>
      <c r="DK15" s="647" t="s">
        <v>285</v>
      </c>
      <c r="DL15" s="648" t="s">
        <v>104</v>
      </c>
      <c r="DM15" s="649" t="s">
        <v>503</v>
      </c>
      <c r="DN15" s="650" t="s">
        <v>502</v>
      </c>
      <c r="DO15" s="651" t="s">
        <v>288</v>
      </c>
      <c r="DP15" s="650" t="s">
        <v>502</v>
      </c>
      <c r="DQ15" s="651" t="s">
        <v>288</v>
      </c>
      <c r="DR15" s="650" t="s">
        <v>584</v>
      </c>
      <c r="DS15" s="651" t="s">
        <v>288</v>
      </c>
      <c r="DT15" s="650" t="s">
        <v>502</v>
      </c>
      <c r="DU15" s="651" t="s">
        <v>288</v>
      </c>
      <c r="DV15" s="650" t="s">
        <v>583</v>
      </c>
      <c r="DW15" s="651" t="s">
        <v>288</v>
      </c>
      <c r="DX15" s="650" t="s">
        <v>583</v>
      </c>
      <c r="DY15" s="651" t="s">
        <v>288</v>
      </c>
      <c r="DZ15" s="650" t="s">
        <v>584</v>
      </c>
      <c r="EA15" s="651" t="s">
        <v>288</v>
      </c>
      <c r="EB15" s="650" t="s">
        <v>583</v>
      </c>
      <c r="EC15" s="651" t="s">
        <v>288</v>
      </c>
      <c r="ED15" s="650" t="s">
        <v>584</v>
      </c>
      <c r="EE15" s="651" t="s">
        <v>288</v>
      </c>
      <c r="EF15" s="650" t="s">
        <v>502</v>
      </c>
      <c r="EG15" s="651" t="s">
        <v>288</v>
      </c>
      <c r="EH15" s="650" t="s">
        <v>502</v>
      </c>
      <c r="EI15" s="651" t="s">
        <v>288</v>
      </c>
      <c r="EJ15" s="650" t="s">
        <v>584</v>
      </c>
      <c r="EK15" s="651" t="s">
        <v>288</v>
      </c>
      <c r="EL15" s="650" t="s">
        <v>583</v>
      </c>
      <c r="EM15" s="651" t="s">
        <v>288</v>
      </c>
      <c r="EN15" s="650" t="s">
        <v>502</v>
      </c>
      <c r="EO15" s="651" t="s">
        <v>288</v>
      </c>
      <c r="EP15" s="650" t="s">
        <v>583</v>
      </c>
      <c r="EQ15" s="651" t="s">
        <v>288</v>
      </c>
      <c r="ER15" s="650" t="s">
        <v>583</v>
      </c>
      <c r="ES15" s="651" t="s">
        <v>288</v>
      </c>
      <c r="ET15" s="650" t="s">
        <v>583</v>
      </c>
      <c r="EU15" s="651" t="s">
        <v>288</v>
      </c>
      <c r="EV15" s="650" t="s">
        <v>502</v>
      </c>
      <c r="EW15" s="651" t="s">
        <v>288</v>
      </c>
      <c r="EX15" s="650" t="s">
        <v>584</v>
      </c>
      <c r="EY15" s="651" t="s">
        <v>288</v>
      </c>
      <c r="EZ15" s="650" t="s">
        <v>502</v>
      </c>
      <c r="FA15" s="651" t="s">
        <v>288</v>
      </c>
      <c r="FB15" s="650" t="s">
        <v>502</v>
      </c>
      <c r="FC15" s="651" t="s">
        <v>288</v>
      </c>
      <c r="FD15" s="650" t="s">
        <v>502</v>
      </c>
      <c r="FE15" s="651" t="s">
        <v>288</v>
      </c>
      <c r="FF15" s="650" t="s">
        <v>502</v>
      </c>
      <c r="FG15" s="651" t="s">
        <v>288</v>
      </c>
      <c r="FH15" s="652" t="s">
        <v>291</v>
      </c>
      <c r="FI15" s="654"/>
      <c r="FJ15" s="529" t="s">
        <v>283</v>
      </c>
      <c r="FK15" s="645" t="s">
        <v>261</v>
      </c>
      <c r="FL15" s="646" t="s">
        <v>262</v>
      </c>
      <c r="FM15" s="647" t="s">
        <v>585</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77</v>
      </c>
      <c r="D16" s="542">
        <v>5.6</v>
      </c>
      <c r="E16" s="663" t="s">
        <v>325</v>
      </c>
      <c r="F16" s="664"/>
      <c r="G16" s="665">
        <v>0</v>
      </c>
      <c r="H16" s="546">
        <f>ROUND(5.6*2.1*0,0)</f>
        <v>0</v>
      </c>
      <c r="I16" s="666">
        <v>0</v>
      </c>
      <c r="J16" s="546">
        <f>ROUND(5.6*2.1*0,0)</f>
        <v>0</v>
      </c>
      <c r="K16" s="666">
        <v>0</v>
      </c>
      <c r="L16" s="546">
        <f>ROUND(5.6*2.1*0,0)</f>
        <v>0</v>
      </c>
      <c r="M16" s="666">
        <v>0</v>
      </c>
      <c r="N16" s="546">
        <f>ROUND(5.6*2.1*0,0)</f>
        <v>0</v>
      </c>
      <c r="O16" s="666">
        <v>0</v>
      </c>
      <c r="P16" s="546">
        <f>ROUND(5.6*2.1*0,0)</f>
        <v>0</v>
      </c>
      <c r="Q16" s="666">
        <v>0</v>
      </c>
      <c r="R16" s="546">
        <f>ROUND(5.6*2.1*0,0)</f>
        <v>0</v>
      </c>
      <c r="S16" s="666">
        <v>0</v>
      </c>
      <c r="T16" s="546">
        <f>ROUND(5.6*2.1*0,0)</f>
        <v>0</v>
      </c>
      <c r="U16" s="666">
        <v>0</v>
      </c>
      <c r="V16" s="546">
        <f>ROUND(5.6*2.1*0,0)</f>
        <v>0</v>
      </c>
      <c r="W16" s="666">
        <v>3.3</v>
      </c>
      <c r="X16" s="546">
        <f>ROUND(5.6*2.1*3.3,0)</f>
        <v>39</v>
      </c>
      <c r="Y16" s="666">
        <v>4.5</v>
      </c>
      <c r="Z16" s="546">
        <f>ROUND(5.6*2.1*4.5,0)</f>
        <v>53</v>
      </c>
      <c r="AA16" s="666">
        <v>5.2</v>
      </c>
      <c r="AB16" s="546">
        <f>ROUND(5.6*2.1*5.2,0)</f>
        <v>61</v>
      </c>
      <c r="AC16" s="666">
        <v>5.7</v>
      </c>
      <c r="AD16" s="546">
        <f>ROUND(5.6*2.1*5.7,0)</f>
        <v>67</v>
      </c>
      <c r="AE16" s="666">
        <v>5.9</v>
      </c>
      <c r="AF16" s="546">
        <f>ROUND(5.6*2.1*5.9,0)</f>
        <v>69</v>
      </c>
      <c r="AG16" s="666">
        <v>5.9</v>
      </c>
      <c r="AH16" s="546">
        <f>ROUND(5.6*2.1*5.9,0)</f>
        <v>69</v>
      </c>
      <c r="AI16" s="666">
        <v>5.4</v>
      </c>
      <c r="AJ16" s="546">
        <f>ROUND(5.6*2.1*5.4,0)</f>
        <v>64</v>
      </c>
      <c r="AK16" s="666">
        <v>4.9000000000000004</v>
      </c>
      <c r="AL16" s="546">
        <f>ROUND(5.6*2.1*4.9,0)</f>
        <v>58</v>
      </c>
      <c r="AM16" s="666">
        <v>4</v>
      </c>
      <c r="AN16" s="546">
        <f>ROUND(5.6*2.1*4,0)</f>
        <v>47</v>
      </c>
      <c r="AO16" s="666">
        <v>3.3</v>
      </c>
      <c r="AP16" s="546">
        <f>ROUND(5.6*2.1*3.3,0)</f>
        <v>39</v>
      </c>
      <c r="AQ16" s="666">
        <v>0</v>
      </c>
      <c r="AR16" s="546">
        <f>ROUND(5.6*2.1*0,0)</f>
        <v>0</v>
      </c>
      <c r="AS16" s="666">
        <v>0</v>
      </c>
      <c r="AT16" s="546">
        <f>ROUND(5.6*2.1*0,0)</f>
        <v>0</v>
      </c>
      <c r="AU16" s="666">
        <v>0</v>
      </c>
      <c r="AV16" s="546">
        <f>ROUND(5.6*2.1*0,0)</f>
        <v>0</v>
      </c>
      <c r="AW16" s="666">
        <v>0</v>
      </c>
      <c r="AX16" s="546">
        <f>ROUND(5.6*2.1*0,0)</f>
        <v>0</v>
      </c>
      <c r="AY16" s="666">
        <v>0</v>
      </c>
      <c r="AZ16" s="546">
        <f>ROUND(5.6*2.1*0,0)</f>
        <v>0</v>
      </c>
      <c r="BA16" s="666">
        <v>0</v>
      </c>
      <c r="BB16" s="667">
        <f>ROUND(5.6*2.1*0,0)</f>
        <v>0</v>
      </c>
      <c r="BC16" s="549"/>
      <c r="BD16" s="539"/>
      <c r="BE16" s="541" t="s">
        <v>229</v>
      </c>
      <c r="BF16" s="662" t="s">
        <v>77</v>
      </c>
      <c r="BG16" s="542">
        <v>5.6</v>
      </c>
      <c r="BH16" s="663" t="s">
        <v>325</v>
      </c>
      <c r="BI16" s="664"/>
      <c r="BJ16" s="665">
        <v>0</v>
      </c>
      <c r="BK16" s="546">
        <f>ROUND(5.6*2.1*0,0)</f>
        <v>0</v>
      </c>
      <c r="BL16" s="666">
        <v>0</v>
      </c>
      <c r="BM16" s="546">
        <f>ROUND(5.6*2.1*0,0)</f>
        <v>0</v>
      </c>
      <c r="BN16" s="666">
        <v>0</v>
      </c>
      <c r="BO16" s="546">
        <f>ROUND(5.6*2.1*0,0)</f>
        <v>0</v>
      </c>
      <c r="BP16" s="666">
        <v>0</v>
      </c>
      <c r="BQ16" s="546">
        <f>ROUND(5.6*2.1*0,0)</f>
        <v>0</v>
      </c>
      <c r="BR16" s="666">
        <v>0</v>
      </c>
      <c r="BS16" s="546">
        <f>ROUND(5.6*2.1*0,0)</f>
        <v>0</v>
      </c>
      <c r="BT16" s="666">
        <v>0</v>
      </c>
      <c r="BU16" s="546">
        <f>ROUND(5.6*2.1*0,0)</f>
        <v>0</v>
      </c>
      <c r="BV16" s="666">
        <v>0</v>
      </c>
      <c r="BW16" s="546">
        <f>ROUND(5.6*2.1*0,0)</f>
        <v>0</v>
      </c>
      <c r="BX16" s="666">
        <v>0</v>
      </c>
      <c r="BY16" s="546">
        <f>ROUND(5.6*2.1*0,0)</f>
        <v>0</v>
      </c>
      <c r="BZ16" s="666">
        <v>3.1</v>
      </c>
      <c r="CA16" s="546">
        <f>ROUND(5.6*2.1*3.1,0)</f>
        <v>36</v>
      </c>
      <c r="CB16" s="666">
        <v>4.0999999999999996</v>
      </c>
      <c r="CC16" s="546">
        <f>ROUND(5.6*2.1*4.1,0)</f>
        <v>48</v>
      </c>
      <c r="CD16" s="666">
        <v>5</v>
      </c>
      <c r="CE16" s="546">
        <f>ROUND(5.6*2.1*5,0)</f>
        <v>59</v>
      </c>
      <c r="CF16" s="666">
        <v>5.4</v>
      </c>
      <c r="CG16" s="546">
        <f>ROUND(5.6*2.1*5.4,0)</f>
        <v>64</v>
      </c>
      <c r="CH16" s="666">
        <v>5.6</v>
      </c>
      <c r="CI16" s="546">
        <f>ROUND(5.6*2.1*5.6,0)</f>
        <v>66</v>
      </c>
      <c r="CJ16" s="666">
        <v>5.4</v>
      </c>
      <c r="CK16" s="546">
        <f>ROUND(5.6*2.1*5.4,0)</f>
        <v>64</v>
      </c>
      <c r="CL16" s="666">
        <v>4.9000000000000004</v>
      </c>
      <c r="CM16" s="546">
        <f>ROUND(5.6*2.1*4.9,0)</f>
        <v>58</v>
      </c>
      <c r="CN16" s="666">
        <v>4.5</v>
      </c>
      <c r="CO16" s="546">
        <f>ROUND(5.6*2.1*4.5,0)</f>
        <v>53</v>
      </c>
      <c r="CP16" s="666">
        <v>4</v>
      </c>
      <c r="CQ16" s="546">
        <f>ROUND(5.6*2.1*4,0)</f>
        <v>47</v>
      </c>
      <c r="CR16" s="666">
        <v>3.1</v>
      </c>
      <c r="CS16" s="546">
        <f>ROUND(5.6*2.1*3.1,0)</f>
        <v>36</v>
      </c>
      <c r="CT16" s="666">
        <v>0</v>
      </c>
      <c r="CU16" s="546">
        <f>ROUND(5.6*2.1*0,0)</f>
        <v>0</v>
      </c>
      <c r="CV16" s="666">
        <v>0</v>
      </c>
      <c r="CW16" s="546">
        <f>ROUND(5.6*2.1*0,0)</f>
        <v>0</v>
      </c>
      <c r="CX16" s="666">
        <v>0</v>
      </c>
      <c r="CY16" s="546">
        <f>ROUND(5.6*2.1*0,0)</f>
        <v>0</v>
      </c>
      <c r="CZ16" s="666">
        <v>0</v>
      </c>
      <c r="DA16" s="546">
        <f>ROUND(5.6*2.1*0,0)</f>
        <v>0</v>
      </c>
      <c r="DB16" s="666">
        <v>0</v>
      </c>
      <c r="DC16" s="546">
        <f>ROUND(5.6*2.1*0,0)</f>
        <v>0</v>
      </c>
      <c r="DD16" s="666">
        <v>0</v>
      </c>
      <c r="DE16" s="667">
        <f>ROUND(5.6*2.1*0,0)</f>
        <v>0</v>
      </c>
      <c r="DF16" s="549"/>
      <c r="DG16" s="539"/>
      <c r="DH16" s="541" t="s">
        <v>229</v>
      </c>
      <c r="DI16" s="662" t="s">
        <v>77</v>
      </c>
      <c r="DJ16" s="542">
        <v>5.6</v>
      </c>
      <c r="DK16" s="663" t="s">
        <v>325</v>
      </c>
      <c r="DL16" s="664"/>
      <c r="DM16" s="665">
        <v>0</v>
      </c>
      <c r="DN16" s="546">
        <f>ROUND(5.6*2.1*0,0)</f>
        <v>0</v>
      </c>
      <c r="DO16" s="666">
        <v>0</v>
      </c>
      <c r="DP16" s="546">
        <f>ROUND(5.6*2.1*0,0)</f>
        <v>0</v>
      </c>
      <c r="DQ16" s="666">
        <v>0</v>
      </c>
      <c r="DR16" s="546">
        <f>ROUND(5.6*2.1*0,0)</f>
        <v>0</v>
      </c>
      <c r="DS16" s="666">
        <v>0</v>
      </c>
      <c r="DT16" s="546">
        <f>ROUND(5.6*2.1*0,0)</f>
        <v>0</v>
      </c>
      <c r="DU16" s="666">
        <v>0</v>
      </c>
      <c r="DV16" s="546">
        <f>ROUND(5.6*2.1*0,0)</f>
        <v>0</v>
      </c>
      <c r="DW16" s="666">
        <v>0</v>
      </c>
      <c r="DX16" s="546">
        <f>ROUND(5.6*2.1*0,0)</f>
        <v>0</v>
      </c>
      <c r="DY16" s="666">
        <v>0</v>
      </c>
      <c r="DZ16" s="546">
        <f>ROUND(5.6*2.1*0,0)</f>
        <v>0</v>
      </c>
      <c r="EA16" s="666">
        <v>0</v>
      </c>
      <c r="EB16" s="546">
        <f>ROUND(5.6*2.1*0,0)</f>
        <v>0</v>
      </c>
      <c r="EC16" s="666">
        <v>0.80000000000000104</v>
      </c>
      <c r="ED16" s="546">
        <f>ROUND(5.6*2.1*0.800000000000001,0)</f>
        <v>9</v>
      </c>
      <c r="EE16" s="666">
        <v>2.1</v>
      </c>
      <c r="EF16" s="546">
        <f>ROUND(5.6*2.1*2.1,0)</f>
        <v>25</v>
      </c>
      <c r="EG16" s="666">
        <v>2.9</v>
      </c>
      <c r="EH16" s="546">
        <f>ROUND(5.6*2.1*2.9,0)</f>
        <v>34</v>
      </c>
      <c r="EI16" s="666">
        <v>3.6</v>
      </c>
      <c r="EJ16" s="546">
        <f>ROUND(5.6*2.1*3.6,0)</f>
        <v>42</v>
      </c>
      <c r="EK16" s="666">
        <v>3.8</v>
      </c>
      <c r="EL16" s="546">
        <f>ROUND(5.6*2.1*3.8,0)</f>
        <v>45</v>
      </c>
      <c r="EM16" s="666">
        <v>3.5</v>
      </c>
      <c r="EN16" s="546">
        <f>ROUND(5.6*2.1*3.5,0)</f>
        <v>41</v>
      </c>
      <c r="EO16" s="666">
        <v>3.1</v>
      </c>
      <c r="EP16" s="546">
        <f>ROUND(5.6*2.1*3.1,0)</f>
        <v>36</v>
      </c>
      <c r="EQ16" s="666">
        <v>2.7</v>
      </c>
      <c r="ER16" s="546">
        <f>ROUND(5.6*2.1*2.7,0)</f>
        <v>32</v>
      </c>
      <c r="ES16" s="666">
        <v>1.7</v>
      </c>
      <c r="ET16" s="546">
        <f>ROUND(5.6*2.1*1.7,0)</f>
        <v>20</v>
      </c>
      <c r="EU16" s="666">
        <v>0.69999999999999896</v>
      </c>
      <c r="EV16" s="546">
        <f>ROUND(5.6*2.1*0.699999999999999,0)</f>
        <v>8</v>
      </c>
      <c r="EW16" s="666">
        <v>0</v>
      </c>
      <c r="EX16" s="546">
        <f>ROUND(5.6*2.1*0,0)</f>
        <v>0</v>
      </c>
      <c r="EY16" s="666">
        <v>0</v>
      </c>
      <c r="EZ16" s="546">
        <f>ROUND(5.6*2.1*0,0)</f>
        <v>0</v>
      </c>
      <c r="FA16" s="666">
        <v>0</v>
      </c>
      <c r="FB16" s="546">
        <f>ROUND(5.6*2.1*0,0)</f>
        <v>0</v>
      </c>
      <c r="FC16" s="666">
        <v>0</v>
      </c>
      <c r="FD16" s="546">
        <f>ROUND(5.6*2.1*0,0)</f>
        <v>0</v>
      </c>
      <c r="FE16" s="666">
        <v>0</v>
      </c>
      <c r="FF16" s="546">
        <f>ROUND(5.6*2.1*0,0)</f>
        <v>0</v>
      </c>
      <c r="FG16" s="666">
        <v>0</v>
      </c>
      <c r="FH16" s="667">
        <f>ROUND(5.6*2.1*0,0)</f>
        <v>0</v>
      </c>
      <c r="FI16" s="550"/>
      <c r="FJ16" s="551"/>
      <c r="FK16" s="541" t="s">
        <v>229</v>
      </c>
      <c r="FL16" s="662" t="s">
        <v>77</v>
      </c>
      <c r="FM16" s="542">
        <v>5.6</v>
      </c>
      <c r="FN16" s="663" t="s">
        <v>325</v>
      </c>
      <c r="FO16" s="664"/>
      <c r="FP16" s="668">
        <v>9</v>
      </c>
      <c r="FQ16" s="669">
        <v>17</v>
      </c>
      <c r="FR16" s="546">
        <f>ROUND(5.6*2.1*17,0)</f>
        <v>200</v>
      </c>
      <c r="FS16" s="670">
        <v>9</v>
      </c>
      <c r="FT16" s="669">
        <v>17.5</v>
      </c>
      <c r="FU16" s="554">
        <f>ROUND(5.6*2.1*17.5,0)</f>
        <v>206</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77</v>
      </c>
      <c r="D17" s="570">
        <v>6.03</v>
      </c>
      <c r="E17" s="675">
        <v>0.9</v>
      </c>
      <c r="F17" s="676"/>
      <c r="G17" s="677">
        <v>0</v>
      </c>
      <c r="H17" s="574">
        <f>ROUND(6.03*0.9*0,0)</f>
        <v>0</v>
      </c>
      <c r="I17" s="678">
        <v>0</v>
      </c>
      <c r="J17" s="574">
        <f>ROUND(6.03*0.9*0,0)</f>
        <v>0</v>
      </c>
      <c r="K17" s="678">
        <v>0</v>
      </c>
      <c r="L17" s="574">
        <f>ROUND(6.03*0.9*0,0)</f>
        <v>0</v>
      </c>
      <c r="M17" s="678">
        <v>0</v>
      </c>
      <c r="N17" s="574">
        <f>ROUND(6.03*0.9*0,0)</f>
        <v>0</v>
      </c>
      <c r="O17" s="678">
        <v>0</v>
      </c>
      <c r="P17" s="574">
        <f>ROUND(6.03*0.9*0,0)</f>
        <v>0</v>
      </c>
      <c r="Q17" s="678">
        <v>0</v>
      </c>
      <c r="R17" s="574">
        <f>ROUND(6.03*0.9*0,0)</f>
        <v>0</v>
      </c>
      <c r="S17" s="678">
        <v>0</v>
      </c>
      <c r="T17" s="574">
        <f>ROUND(6.03*0.9*0,0)</f>
        <v>0</v>
      </c>
      <c r="U17" s="678">
        <v>0</v>
      </c>
      <c r="V17" s="574">
        <f>ROUND(6.03*0.9*0,0)</f>
        <v>0</v>
      </c>
      <c r="W17" s="678">
        <v>1.5</v>
      </c>
      <c r="X17" s="574">
        <f>ROUND(6.03*0.9*1.5,0)</f>
        <v>8</v>
      </c>
      <c r="Y17" s="678">
        <v>2.2999999999999998</v>
      </c>
      <c r="Z17" s="574">
        <f>ROUND(6.03*0.9*2.3,0)</f>
        <v>12</v>
      </c>
      <c r="AA17" s="678">
        <v>3.6</v>
      </c>
      <c r="AB17" s="574">
        <f>ROUND(6.03*0.9*3.6,0)</f>
        <v>20</v>
      </c>
      <c r="AC17" s="678">
        <v>5</v>
      </c>
      <c r="AD17" s="574">
        <f>ROUND(6.03*0.9*5,0)</f>
        <v>27</v>
      </c>
      <c r="AE17" s="678">
        <v>6.5</v>
      </c>
      <c r="AF17" s="574">
        <f>ROUND(6.03*0.9*6.5,0)</f>
        <v>35</v>
      </c>
      <c r="AG17" s="678">
        <v>7.8</v>
      </c>
      <c r="AH17" s="574">
        <f>ROUND(6.03*0.9*7.8,0)</f>
        <v>42</v>
      </c>
      <c r="AI17" s="678">
        <v>8.8000000000000007</v>
      </c>
      <c r="AJ17" s="574">
        <f>ROUND(6.03*0.9*8.8,0)</f>
        <v>48</v>
      </c>
      <c r="AK17" s="678">
        <v>9.3000000000000007</v>
      </c>
      <c r="AL17" s="574">
        <f>ROUND(6.03*0.9*9.3,0)</f>
        <v>50</v>
      </c>
      <c r="AM17" s="678">
        <v>9.3000000000000007</v>
      </c>
      <c r="AN17" s="574">
        <f>ROUND(6.03*0.9*9.3,0)</f>
        <v>50</v>
      </c>
      <c r="AO17" s="678">
        <v>9</v>
      </c>
      <c r="AP17" s="574">
        <f>ROUND(6.03*0.9*9,0)</f>
        <v>49</v>
      </c>
      <c r="AQ17" s="678">
        <v>0</v>
      </c>
      <c r="AR17" s="574">
        <f>ROUND(6.03*0.9*0,0)</f>
        <v>0</v>
      </c>
      <c r="AS17" s="678">
        <v>0</v>
      </c>
      <c r="AT17" s="574">
        <f>ROUND(6.03*0.9*0,0)</f>
        <v>0</v>
      </c>
      <c r="AU17" s="678">
        <v>0</v>
      </c>
      <c r="AV17" s="574">
        <f>ROUND(6.03*0.9*0,0)</f>
        <v>0</v>
      </c>
      <c r="AW17" s="678">
        <v>0</v>
      </c>
      <c r="AX17" s="574">
        <f>ROUND(6.03*0.9*0,0)</f>
        <v>0</v>
      </c>
      <c r="AY17" s="678">
        <v>0</v>
      </c>
      <c r="AZ17" s="574">
        <f>ROUND(6.03*0.9*0,0)</f>
        <v>0</v>
      </c>
      <c r="BA17" s="678">
        <v>0</v>
      </c>
      <c r="BB17" s="576">
        <f>ROUND(6.03*0.9*0,0)</f>
        <v>0</v>
      </c>
      <c r="BC17" s="549"/>
      <c r="BD17" s="539"/>
      <c r="BE17" s="569" t="s">
        <v>213</v>
      </c>
      <c r="BF17" s="674" t="s">
        <v>77</v>
      </c>
      <c r="BG17" s="570">
        <v>6.03</v>
      </c>
      <c r="BH17" s="675">
        <v>0.9</v>
      </c>
      <c r="BI17" s="676"/>
      <c r="BJ17" s="677">
        <v>0</v>
      </c>
      <c r="BK17" s="574">
        <f>ROUND(6.03*0.9*0,0)</f>
        <v>0</v>
      </c>
      <c r="BL17" s="678">
        <v>0</v>
      </c>
      <c r="BM17" s="574">
        <f>ROUND(6.03*0.9*0,0)</f>
        <v>0</v>
      </c>
      <c r="BN17" s="678">
        <v>0</v>
      </c>
      <c r="BO17" s="574">
        <f>ROUND(6.03*0.9*0,0)</f>
        <v>0</v>
      </c>
      <c r="BP17" s="678">
        <v>0</v>
      </c>
      <c r="BQ17" s="574">
        <f>ROUND(6.03*0.9*0,0)</f>
        <v>0</v>
      </c>
      <c r="BR17" s="678">
        <v>0</v>
      </c>
      <c r="BS17" s="574">
        <f>ROUND(6.03*0.9*0,0)</f>
        <v>0</v>
      </c>
      <c r="BT17" s="678">
        <v>0</v>
      </c>
      <c r="BU17" s="574">
        <f>ROUND(6.03*0.9*0,0)</f>
        <v>0</v>
      </c>
      <c r="BV17" s="678">
        <v>0</v>
      </c>
      <c r="BW17" s="574">
        <f>ROUND(6.03*0.9*0,0)</f>
        <v>0</v>
      </c>
      <c r="BX17" s="678">
        <v>0</v>
      </c>
      <c r="BY17" s="574">
        <f>ROUND(6.03*0.9*0,0)</f>
        <v>0</v>
      </c>
      <c r="BZ17" s="678">
        <v>0.9</v>
      </c>
      <c r="CA17" s="574">
        <f>ROUND(6.03*0.9*0.9,0)</f>
        <v>5</v>
      </c>
      <c r="CB17" s="678">
        <v>1.9</v>
      </c>
      <c r="CC17" s="574">
        <f>ROUND(6.03*0.9*1.9,0)</f>
        <v>10</v>
      </c>
      <c r="CD17" s="678">
        <v>3.4</v>
      </c>
      <c r="CE17" s="574">
        <f>ROUND(6.03*0.9*3.4,0)</f>
        <v>18</v>
      </c>
      <c r="CF17" s="678">
        <v>5.0999999999999996</v>
      </c>
      <c r="CG17" s="574">
        <f>ROUND(6.03*0.9*5.1,0)</f>
        <v>28</v>
      </c>
      <c r="CH17" s="678">
        <v>6.8</v>
      </c>
      <c r="CI17" s="574">
        <f>ROUND(6.03*0.9*6.8,0)</f>
        <v>37</v>
      </c>
      <c r="CJ17" s="678">
        <v>8.1999999999999993</v>
      </c>
      <c r="CK17" s="574">
        <f>ROUND(6.03*0.9*8.2,0)</f>
        <v>45</v>
      </c>
      <c r="CL17" s="678">
        <v>9.1999999999999993</v>
      </c>
      <c r="CM17" s="574">
        <f>ROUND(6.03*0.9*9.2,0)</f>
        <v>50</v>
      </c>
      <c r="CN17" s="678">
        <v>9.6</v>
      </c>
      <c r="CO17" s="574">
        <f>ROUND(6.03*0.9*9.6,0)</f>
        <v>52</v>
      </c>
      <c r="CP17" s="678">
        <v>9.5</v>
      </c>
      <c r="CQ17" s="574">
        <f>ROUND(6.03*0.9*9.5,0)</f>
        <v>52</v>
      </c>
      <c r="CR17" s="678">
        <v>9</v>
      </c>
      <c r="CS17" s="574">
        <f>ROUND(6.03*0.9*9,0)</f>
        <v>49</v>
      </c>
      <c r="CT17" s="678">
        <v>0</v>
      </c>
      <c r="CU17" s="574">
        <f>ROUND(6.03*0.9*0,0)</f>
        <v>0</v>
      </c>
      <c r="CV17" s="678">
        <v>0</v>
      </c>
      <c r="CW17" s="574">
        <f>ROUND(6.03*0.9*0,0)</f>
        <v>0</v>
      </c>
      <c r="CX17" s="678">
        <v>0</v>
      </c>
      <c r="CY17" s="574">
        <f>ROUND(6.03*0.9*0,0)</f>
        <v>0</v>
      </c>
      <c r="CZ17" s="678">
        <v>0</v>
      </c>
      <c r="DA17" s="574">
        <f>ROUND(6.03*0.9*0,0)</f>
        <v>0</v>
      </c>
      <c r="DB17" s="678">
        <v>0</v>
      </c>
      <c r="DC17" s="574">
        <f>ROUND(6.03*0.9*0,0)</f>
        <v>0</v>
      </c>
      <c r="DD17" s="678">
        <v>0</v>
      </c>
      <c r="DE17" s="576">
        <f>ROUND(6.03*0.9*0,0)</f>
        <v>0</v>
      </c>
      <c r="DF17" s="549"/>
      <c r="DG17" s="539"/>
      <c r="DH17" s="569" t="s">
        <v>213</v>
      </c>
      <c r="DI17" s="674" t="s">
        <v>77</v>
      </c>
      <c r="DJ17" s="570">
        <v>6.03</v>
      </c>
      <c r="DK17" s="675">
        <v>0.9</v>
      </c>
      <c r="DL17" s="676"/>
      <c r="DM17" s="677">
        <v>0</v>
      </c>
      <c r="DN17" s="574">
        <f>ROUND(6.03*0.9*0,0)</f>
        <v>0</v>
      </c>
      <c r="DO17" s="678">
        <v>0</v>
      </c>
      <c r="DP17" s="574">
        <f>ROUND(6.03*0.9*0,0)</f>
        <v>0</v>
      </c>
      <c r="DQ17" s="678">
        <v>0</v>
      </c>
      <c r="DR17" s="574">
        <f>ROUND(6.03*0.9*0,0)</f>
        <v>0</v>
      </c>
      <c r="DS17" s="678">
        <v>0</v>
      </c>
      <c r="DT17" s="574">
        <f>ROUND(6.03*0.9*0,0)</f>
        <v>0</v>
      </c>
      <c r="DU17" s="678">
        <v>0</v>
      </c>
      <c r="DV17" s="574">
        <f>ROUND(6.03*0.9*0,0)</f>
        <v>0</v>
      </c>
      <c r="DW17" s="678">
        <v>0</v>
      </c>
      <c r="DX17" s="574">
        <f>ROUND(6.03*0.9*0,0)</f>
        <v>0</v>
      </c>
      <c r="DY17" s="678">
        <v>0</v>
      </c>
      <c r="DZ17" s="574">
        <f>ROUND(6.03*0.9*0,0)</f>
        <v>0</v>
      </c>
      <c r="EA17" s="678">
        <v>0</v>
      </c>
      <c r="EB17" s="574">
        <f>ROUND(6.03*0.9*0,0)</f>
        <v>0</v>
      </c>
      <c r="EC17" s="678">
        <v>0</v>
      </c>
      <c r="ED17" s="574">
        <f>ROUND(6.03*0.9*0,0)</f>
        <v>0</v>
      </c>
      <c r="EE17" s="678">
        <v>1.4</v>
      </c>
      <c r="EF17" s="574">
        <f>ROUND(6.03*0.9*1.4,0)</f>
        <v>8</v>
      </c>
      <c r="EG17" s="678">
        <v>3.4</v>
      </c>
      <c r="EH17" s="574">
        <f>ROUND(6.03*0.9*3.4,0)</f>
        <v>18</v>
      </c>
      <c r="EI17" s="678">
        <v>5.7</v>
      </c>
      <c r="EJ17" s="574">
        <f>ROUND(6.03*0.9*5.7,0)</f>
        <v>31</v>
      </c>
      <c r="EK17" s="678">
        <v>8</v>
      </c>
      <c r="EL17" s="574">
        <f>ROUND(6.03*0.9*8,0)</f>
        <v>43</v>
      </c>
      <c r="EM17" s="678">
        <v>9.8000000000000007</v>
      </c>
      <c r="EN17" s="574">
        <f>ROUND(6.03*0.9*9.8,0)</f>
        <v>53</v>
      </c>
      <c r="EO17" s="678">
        <v>11.1</v>
      </c>
      <c r="EP17" s="574">
        <f>ROUND(6.03*0.9*11.1,0)</f>
        <v>60</v>
      </c>
      <c r="EQ17" s="678">
        <v>11.6</v>
      </c>
      <c r="ER17" s="574">
        <f>ROUND(6.03*0.9*11.6,0)</f>
        <v>63</v>
      </c>
      <c r="ES17" s="678">
        <v>11.3</v>
      </c>
      <c r="ET17" s="574">
        <f>ROUND(6.03*0.9*11.3,0)</f>
        <v>61</v>
      </c>
      <c r="EU17" s="678">
        <v>10.4</v>
      </c>
      <c r="EV17" s="574">
        <f>ROUND(6.03*0.9*10.4,0)</f>
        <v>56</v>
      </c>
      <c r="EW17" s="678">
        <v>0</v>
      </c>
      <c r="EX17" s="574">
        <f>ROUND(6.03*0.9*0,0)</f>
        <v>0</v>
      </c>
      <c r="EY17" s="678">
        <v>0</v>
      </c>
      <c r="EZ17" s="574">
        <f>ROUND(6.03*0.9*0,0)</f>
        <v>0</v>
      </c>
      <c r="FA17" s="678">
        <v>0</v>
      </c>
      <c r="FB17" s="574">
        <f>ROUND(6.03*0.9*0,0)</f>
        <v>0</v>
      </c>
      <c r="FC17" s="678">
        <v>0</v>
      </c>
      <c r="FD17" s="574">
        <f>ROUND(6.03*0.9*0,0)</f>
        <v>0</v>
      </c>
      <c r="FE17" s="678">
        <v>0</v>
      </c>
      <c r="FF17" s="574">
        <f>ROUND(6.03*0.9*0,0)</f>
        <v>0</v>
      </c>
      <c r="FG17" s="678">
        <v>0</v>
      </c>
      <c r="FH17" s="576">
        <f>ROUND(6.03*0.9*0,0)</f>
        <v>0</v>
      </c>
      <c r="FI17" s="550"/>
      <c r="FJ17" s="551"/>
      <c r="FK17" s="569" t="s">
        <v>213</v>
      </c>
      <c r="FL17" s="674" t="s">
        <v>77</v>
      </c>
      <c r="FM17" s="570">
        <v>6.03</v>
      </c>
      <c r="FN17" s="675">
        <v>0.9</v>
      </c>
      <c r="FO17" s="676"/>
      <c r="FP17" s="679">
        <v>9</v>
      </c>
      <c r="FQ17" s="680">
        <v>17</v>
      </c>
      <c r="FR17" s="574">
        <f>ROUND(6.03*0.9*17,0)</f>
        <v>92</v>
      </c>
      <c r="FS17" s="681">
        <v>9</v>
      </c>
      <c r="FT17" s="680">
        <v>17.5</v>
      </c>
      <c r="FU17" s="579">
        <f>ROUND(6.03*0.9*17.5,0)</f>
        <v>95</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c r="C18" s="674"/>
      <c r="D18" s="570"/>
      <c r="E18" s="675"/>
      <c r="F18" s="676"/>
      <c r="G18" s="677"/>
      <c r="H18" s="574"/>
      <c r="I18" s="678"/>
      <c r="J18" s="574"/>
      <c r="K18" s="678"/>
      <c r="L18" s="574"/>
      <c r="M18" s="678"/>
      <c r="N18" s="574"/>
      <c r="O18" s="678"/>
      <c r="P18" s="574"/>
      <c r="Q18" s="678"/>
      <c r="R18" s="574"/>
      <c r="S18" s="678"/>
      <c r="T18" s="574"/>
      <c r="U18" s="678"/>
      <c r="V18" s="574"/>
      <c r="W18" s="678"/>
      <c r="X18" s="574"/>
      <c r="Y18" s="678"/>
      <c r="Z18" s="574"/>
      <c r="AA18" s="678"/>
      <c r="AB18" s="574"/>
      <c r="AC18" s="678"/>
      <c r="AD18" s="574"/>
      <c r="AE18" s="678"/>
      <c r="AF18" s="574"/>
      <c r="AG18" s="678"/>
      <c r="AH18" s="574"/>
      <c r="AI18" s="678"/>
      <c r="AJ18" s="574"/>
      <c r="AK18" s="678"/>
      <c r="AL18" s="574"/>
      <c r="AM18" s="678"/>
      <c r="AN18" s="574"/>
      <c r="AO18" s="678"/>
      <c r="AP18" s="574"/>
      <c r="AQ18" s="678"/>
      <c r="AR18" s="574"/>
      <c r="AS18" s="678"/>
      <c r="AT18" s="574"/>
      <c r="AU18" s="678"/>
      <c r="AV18" s="574"/>
      <c r="AW18" s="678"/>
      <c r="AX18" s="574"/>
      <c r="AY18" s="678"/>
      <c r="AZ18" s="574"/>
      <c r="BA18" s="678"/>
      <c r="BB18" s="576"/>
      <c r="BC18" s="549"/>
      <c r="BD18" s="539"/>
      <c r="BE18" s="683"/>
      <c r="BF18" s="674"/>
      <c r="BG18" s="570"/>
      <c r="BH18" s="675"/>
      <c r="BI18" s="676"/>
      <c r="BJ18" s="677"/>
      <c r="BK18" s="574"/>
      <c r="BL18" s="678"/>
      <c r="BM18" s="574"/>
      <c r="BN18" s="678"/>
      <c r="BO18" s="574"/>
      <c r="BP18" s="678"/>
      <c r="BQ18" s="574"/>
      <c r="BR18" s="678"/>
      <c r="BS18" s="574"/>
      <c r="BT18" s="678"/>
      <c r="BU18" s="574"/>
      <c r="BV18" s="678"/>
      <c r="BW18" s="574"/>
      <c r="BX18" s="678"/>
      <c r="BY18" s="574"/>
      <c r="BZ18" s="678"/>
      <c r="CA18" s="574"/>
      <c r="CB18" s="678"/>
      <c r="CC18" s="574"/>
      <c r="CD18" s="678"/>
      <c r="CE18" s="574"/>
      <c r="CF18" s="678"/>
      <c r="CG18" s="574"/>
      <c r="CH18" s="678"/>
      <c r="CI18" s="574"/>
      <c r="CJ18" s="678"/>
      <c r="CK18" s="574"/>
      <c r="CL18" s="678"/>
      <c r="CM18" s="574"/>
      <c r="CN18" s="678"/>
      <c r="CO18" s="574"/>
      <c r="CP18" s="678"/>
      <c r="CQ18" s="574"/>
      <c r="CR18" s="678"/>
      <c r="CS18" s="574"/>
      <c r="CT18" s="678"/>
      <c r="CU18" s="574"/>
      <c r="CV18" s="678"/>
      <c r="CW18" s="574"/>
      <c r="CX18" s="678"/>
      <c r="CY18" s="574"/>
      <c r="CZ18" s="678"/>
      <c r="DA18" s="574"/>
      <c r="DB18" s="678"/>
      <c r="DC18" s="574"/>
      <c r="DD18" s="678"/>
      <c r="DE18" s="576"/>
      <c r="DF18" s="549"/>
      <c r="DG18" s="539"/>
      <c r="DH18" s="683"/>
      <c r="DI18" s="674"/>
      <c r="DJ18" s="570"/>
      <c r="DK18" s="675"/>
      <c r="DL18" s="676"/>
      <c r="DM18" s="677"/>
      <c r="DN18" s="574"/>
      <c r="DO18" s="678"/>
      <c r="DP18" s="574"/>
      <c r="DQ18" s="678"/>
      <c r="DR18" s="574"/>
      <c r="DS18" s="678"/>
      <c r="DT18" s="574"/>
      <c r="DU18" s="678"/>
      <c r="DV18" s="574"/>
      <c r="DW18" s="678"/>
      <c r="DX18" s="574"/>
      <c r="DY18" s="678"/>
      <c r="DZ18" s="574"/>
      <c r="EA18" s="678"/>
      <c r="EB18" s="574"/>
      <c r="EC18" s="678"/>
      <c r="ED18" s="574"/>
      <c r="EE18" s="678"/>
      <c r="EF18" s="574"/>
      <c r="EG18" s="678"/>
      <c r="EH18" s="574"/>
      <c r="EI18" s="678"/>
      <c r="EJ18" s="574"/>
      <c r="EK18" s="678"/>
      <c r="EL18" s="574"/>
      <c r="EM18" s="678"/>
      <c r="EN18" s="574"/>
      <c r="EO18" s="678"/>
      <c r="EP18" s="574"/>
      <c r="EQ18" s="678"/>
      <c r="ER18" s="574"/>
      <c r="ES18" s="678"/>
      <c r="ET18" s="574"/>
      <c r="EU18" s="678"/>
      <c r="EV18" s="574"/>
      <c r="EW18" s="678"/>
      <c r="EX18" s="574"/>
      <c r="EY18" s="678"/>
      <c r="EZ18" s="574"/>
      <c r="FA18" s="678"/>
      <c r="FB18" s="574"/>
      <c r="FC18" s="678"/>
      <c r="FD18" s="574"/>
      <c r="FE18" s="678"/>
      <c r="FF18" s="574"/>
      <c r="FG18" s="678"/>
      <c r="FH18" s="576"/>
      <c r="FI18" s="550"/>
      <c r="FJ18" s="551"/>
      <c r="FK18" s="683"/>
      <c r="FL18" s="674"/>
      <c r="FM18" s="570"/>
      <c r="FN18" s="675"/>
      <c r="FO18" s="676"/>
      <c r="FP18" s="679"/>
      <c r="FQ18" s="680"/>
      <c r="FR18" s="574"/>
      <c r="FS18" s="681"/>
      <c r="FT18" s="680"/>
      <c r="FU18" s="579"/>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c r="C19" s="674"/>
      <c r="D19" s="570"/>
      <c r="E19" s="675"/>
      <c r="F19" s="676"/>
      <c r="G19" s="677"/>
      <c r="H19" s="574"/>
      <c r="I19" s="678"/>
      <c r="J19" s="574"/>
      <c r="K19" s="678"/>
      <c r="L19" s="574"/>
      <c r="M19" s="678"/>
      <c r="N19" s="574"/>
      <c r="O19" s="678"/>
      <c r="P19" s="574"/>
      <c r="Q19" s="678"/>
      <c r="R19" s="574"/>
      <c r="S19" s="678"/>
      <c r="T19" s="574"/>
      <c r="U19" s="678"/>
      <c r="V19" s="574"/>
      <c r="W19" s="678"/>
      <c r="X19" s="574"/>
      <c r="Y19" s="678"/>
      <c r="Z19" s="574"/>
      <c r="AA19" s="678"/>
      <c r="AB19" s="574"/>
      <c r="AC19" s="678"/>
      <c r="AD19" s="574"/>
      <c r="AE19" s="678"/>
      <c r="AF19" s="574"/>
      <c r="AG19" s="678"/>
      <c r="AH19" s="574"/>
      <c r="AI19" s="678"/>
      <c r="AJ19" s="574"/>
      <c r="AK19" s="678"/>
      <c r="AL19" s="574"/>
      <c r="AM19" s="678"/>
      <c r="AN19" s="574"/>
      <c r="AO19" s="678"/>
      <c r="AP19" s="574"/>
      <c r="AQ19" s="678"/>
      <c r="AR19" s="574"/>
      <c r="AS19" s="678"/>
      <c r="AT19" s="574"/>
      <c r="AU19" s="678"/>
      <c r="AV19" s="574"/>
      <c r="AW19" s="678"/>
      <c r="AX19" s="574"/>
      <c r="AY19" s="678"/>
      <c r="AZ19" s="574"/>
      <c r="BA19" s="678"/>
      <c r="BB19" s="576"/>
      <c r="BC19" s="549"/>
      <c r="BD19" s="539"/>
      <c r="BE19" s="683"/>
      <c r="BF19" s="674"/>
      <c r="BG19" s="570"/>
      <c r="BH19" s="675"/>
      <c r="BI19" s="676"/>
      <c r="BJ19" s="677"/>
      <c r="BK19" s="574"/>
      <c r="BL19" s="678"/>
      <c r="BM19" s="574"/>
      <c r="BN19" s="678"/>
      <c r="BO19" s="574"/>
      <c r="BP19" s="678"/>
      <c r="BQ19" s="574"/>
      <c r="BR19" s="678"/>
      <c r="BS19" s="574"/>
      <c r="BT19" s="678"/>
      <c r="BU19" s="574"/>
      <c r="BV19" s="678"/>
      <c r="BW19" s="574"/>
      <c r="BX19" s="678"/>
      <c r="BY19" s="574"/>
      <c r="BZ19" s="678"/>
      <c r="CA19" s="574"/>
      <c r="CB19" s="678"/>
      <c r="CC19" s="574"/>
      <c r="CD19" s="678"/>
      <c r="CE19" s="574"/>
      <c r="CF19" s="678"/>
      <c r="CG19" s="574"/>
      <c r="CH19" s="678"/>
      <c r="CI19" s="574"/>
      <c r="CJ19" s="678"/>
      <c r="CK19" s="574"/>
      <c r="CL19" s="678"/>
      <c r="CM19" s="574"/>
      <c r="CN19" s="678"/>
      <c r="CO19" s="574"/>
      <c r="CP19" s="678"/>
      <c r="CQ19" s="574"/>
      <c r="CR19" s="678"/>
      <c r="CS19" s="574"/>
      <c r="CT19" s="678"/>
      <c r="CU19" s="574"/>
      <c r="CV19" s="678"/>
      <c r="CW19" s="574"/>
      <c r="CX19" s="678"/>
      <c r="CY19" s="574"/>
      <c r="CZ19" s="678"/>
      <c r="DA19" s="574"/>
      <c r="DB19" s="678"/>
      <c r="DC19" s="574"/>
      <c r="DD19" s="678"/>
      <c r="DE19" s="576"/>
      <c r="DF19" s="549"/>
      <c r="DG19" s="539"/>
      <c r="DH19" s="683"/>
      <c r="DI19" s="674"/>
      <c r="DJ19" s="570"/>
      <c r="DK19" s="675"/>
      <c r="DL19" s="676"/>
      <c r="DM19" s="677"/>
      <c r="DN19" s="574"/>
      <c r="DO19" s="678"/>
      <c r="DP19" s="574"/>
      <c r="DQ19" s="678"/>
      <c r="DR19" s="574"/>
      <c r="DS19" s="678"/>
      <c r="DT19" s="574"/>
      <c r="DU19" s="678"/>
      <c r="DV19" s="574"/>
      <c r="DW19" s="678"/>
      <c r="DX19" s="574"/>
      <c r="DY19" s="678"/>
      <c r="DZ19" s="574"/>
      <c r="EA19" s="678"/>
      <c r="EB19" s="574"/>
      <c r="EC19" s="678"/>
      <c r="ED19" s="574"/>
      <c r="EE19" s="678"/>
      <c r="EF19" s="574"/>
      <c r="EG19" s="678"/>
      <c r="EH19" s="574"/>
      <c r="EI19" s="678"/>
      <c r="EJ19" s="574"/>
      <c r="EK19" s="678"/>
      <c r="EL19" s="574"/>
      <c r="EM19" s="678"/>
      <c r="EN19" s="574"/>
      <c r="EO19" s="678"/>
      <c r="EP19" s="574"/>
      <c r="EQ19" s="678"/>
      <c r="ER19" s="574"/>
      <c r="ES19" s="678"/>
      <c r="ET19" s="574"/>
      <c r="EU19" s="678"/>
      <c r="EV19" s="574"/>
      <c r="EW19" s="678"/>
      <c r="EX19" s="574"/>
      <c r="EY19" s="678"/>
      <c r="EZ19" s="574"/>
      <c r="FA19" s="678"/>
      <c r="FB19" s="574"/>
      <c r="FC19" s="678"/>
      <c r="FD19" s="574"/>
      <c r="FE19" s="678"/>
      <c r="FF19" s="574"/>
      <c r="FG19" s="678"/>
      <c r="FH19" s="576"/>
      <c r="FI19" s="550"/>
      <c r="FJ19" s="551"/>
      <c r="FK19" s="683"/>
      <c r="FL19" s="674"/>
      <c r="FM19" s="570"/>
      <c r="FN19" s="675"/>
      <c r="FO19" s="676"/>
      <c r="FP19" s="679"/>
      <c r="FQ19" s="680"/>
      <c r="FR19" s="574"/>
      <c r="FS19" s="681"/>
      <c r="FT19" s="680"/>
      <c r="FU19" s="579"/>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5.6</v>
      </c>
      <c r="GO21" s="687"/>
      <c r="GP21" s="688"/>
      <c r="GQ21" s="620">
        <v>0</v>
      </c>
      <c r="GR21" s="621">
        <v>5.6</v>
      </c>
      <c r="GS21" s="565"/>
      <c r="GT21" s="660"/>
      <c r="GU21" s="684" t="s">
        <v>433</v>
      </c>
      <c r="GV21" s="685"/>
      <c r="GW21" s="686"/>
      <c r="GX21" s="689">
        <v>5.6</v>
      </c>
      <c r="GY21" s="690"/>
      <c r="GZ21" s="687"/>
      <c r="HA21" s="691">
        <v>3.64</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0.65</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17.600000000000001</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0.32</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586</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47</v>
      </c>
      <c r="Y26" s="1271"/>
      <c r="Z26" s="1264">
        <f>SUM(Z16:Z25)</f>
        <v>65</v>
      </c>
      <c r="AA26" s="1271"/>
      <c r="AB26" s="1264">
        <f>SUM(AB16:AB25)</f>
        <v>81</v>
      </c>
      <c r="AC26" s="1271"/>
      <c r="AD26" s="1264">
        <f>SUM(AD16:AD25)</f>
        <v>94</v>
      </c>
      <c r="AE26" s="1271"/>
      <c r="AF26" s="1264">
        <f>SUM(AF16:AF25)</f>
        <v>104</v>
      </c>
      <c r="AG26" s="1271"/>
      <c r="AH26" s="1264">
        <f>SUM(AH16:AH25)</f>
        <v>111</v>
      </c>
      <c r="AI26" s="1271"/>
      <c r="AJ26" s="1264">
        <f>SUM(AJ16:AJ25)</f>
        <v>112</v>
      </c>
      <c r="AK26" s="1271"/>
      <c r="AL26" s="1264">
        <f>SUM(AL16:AL25)</f>
        <v>108</v>
      </c>
      <c r="AM26" s="1271"/>
      <c r="AN26" s="1264">
        <f>SUM(AN16:AN25)</f>
        <v>97</v>
      </c>
      <c r="AO26" s="1271"/>
      <c r="AP26" s="1264">
        <f>SUM(AP16:AP25)</f>
        <v>88</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538</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41</v>
      </c>
      <c r="CB26" s="1271"/>
      <c r="CC26" s="1264">
        <f>SUM(CC16:CC25)</f>
        <v>58</v>
      </c>
      <c r="CD26" s="1271"/>
      <c r="CE26" s="1264">
        <f>SUM(CE16:CE25)</f>
        <v>77</v>
      </c>
      <c r="CF26" s="1271"/>
      <c r="CG26" s="1264">
        <f>SUM(CG16:CG25)</f>
        <v>92</v>
      </c>
      <c r="CH26" s="1271"/>
      <c r="CI26" s="1264">
        <f>SUM(CI16:CI25)</f>
        <v>103</v>
      </c>
      <c r="CJ26" s="1271"/>
      <c r="CK26" s="1264">
        <f>SUM(CK16:CK25)</f>
        <v>109</v>
      </c>
      <c r="CL26" s="1271"/>
      <c r="CM26" s="1264">
        <f>SUM(CM16:CM25)</f>
        <v>108</v>
      </c>
      <c r="CN26" s="1271"/>
      <c r="CO26" s="1264">
        <f>SUM(CO16:CO25)</f>
        <v>105</v>
      </c>
      <c r="CP26" s="1271"/>
      <c r="CQ26" s="1264">
        <f>SUM(CQ16:CQ25)</f>
        <v>99</v>
      </c>
      <c r="CR26" s="1271"/>
      <c r="CS26" s="1264">
        <f>SUM(CS16:CS25)</f>
        <v>85</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538</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9</v>
      </c>
      <c r="EE26" s="1271"/>
      <c r="EF26" s="1264">
        <f>SUM(EF16:EF25)</f>
        <v>33</v>
      </c>
      <c r="EG26" s="1271"/>
      <c r="EH26" s="1264">
        <f>SUM(EH16:EH25)</f>
        <v>52</v>
      </c>
      <c r="EI26" s="1271"/>
      <c r="EJ26" s="1264">
        <f>SUM(EJ16:EJ25)</f>
        <v>73</v>
      </c>
      <c r="EK26" s="1271"/>
      <c r="EL26" s="1264">
        <f>SUM(EL16:EL25)</f>
        <v>88</v>
      </c>
      <c r="EM26" s="1271"/>
      <c r="EN26" s="1264">
        <f>SUM(EN16:EN25)</f>
        <v>94</v>
      </c>
      <c r="EO26" s="1271"/>
      <c r="EP26" s="1264">
        <f>SUM(EP16:EP25)</f>
        <v>96</v>
      </c>
      <c r="EQ26" s="1271"/>
      <c r="ER26" s="1264">
        <f>SUM(ER16:ER25)</f>
        <v>95</v>
      </c>
      <c r="ES26" s="1271"/>
      <c r="ET26" s="1264">
        <f>SUM(ET16:ET25)</f>
        <v>81</v>
      </c>
      <c r="EU26" s="1271"/>
      <c r="EV26" s="1264">
        <f>SUM(EV16:EV25)</f>
        <v>64</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506</v>
      </c>
      <c r="FN26" s="629"/>
      <c r="FO26" s="629"/>
      <c r="FP26" s="1267"/>
      <c r="FQ26" s="638"/>
      <c r="FR26" s="1264">
        <f>SUM(FR16:FR25)</f>
        <v>292</v>
      </c>
      <c r="FS26" s="1272"/>
      <c r="FT26" s="638"/>
      <c r="FU26" s="1269">
        <f>SUM(FU16:FU25)</f>
        <v>301</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0.65</v>
      </c>
      <c r="GZ26" s="567"/>
      <c r="HA26" s="517"/>
      <c r="HB26" s="517"/>
      <c r="HC26" s="517"/>
      <c r="HD26" s="635"/>
      <c r="HE26" s="406"/>
      <c r="HF26" s="406"/>
      <c r="HG26" s="567"/>
      <c r="HH26" s="635"/>
      <c r="HI26" s="406"/>
      <c r="HJ26" s="406"/>
    </row>
    <row r="27" spans="1:218" ht="20.100000000000001" customHeight="1">
      <c r="A27" s="1273" t="s">
        <v>597</v>
      </c>
      <c r="B27" s="721"/>
      <c r="C27" s="722"/>
      <c r="D27" s="650"/>
      <c r="E27" s="722"/>
      <c r="F27" s="722"/>
      <c r="G27" s="723" t="s">
        <v>367</v>
      </c>
      <c r="H27" s="650" t="s">
        <v>368</v>
      </c>
      <c r="I27" s="724" t="s">
        <v>367</v>
      </c>
      <c r="J27" s="650" t="s">
        <v>368</v>
      </c>
      <c r="K27" s="725" t="s">
        <v>367</v>
      </c>
      <c r="L27" s="650" t="s">
        <v>368</v>
      </c>
      <c r="M27" s="725" t="s">
        <v>367</v>
      </c>
      <c r="N27" s="650" t="s">
        <v>368</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7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7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v>55</v>
      </c>
      <c r="E28" s="738">
        <v>2</v>
      </c>
      <c r="F28" s="739" t="s">
        <v>373</v>
      </c>
      <c r="G28" s="740"/>
      <c r="H28" s="546"/>
      <c r="I28" s="741"/>
      <c r="J28" s="546"/>
      <c r="K28" s="741"/>
      <c r="L28" s="546"/>
      <c r="M28" s="741"/>
      <c r="N28" s="546"/>
      <c r="O28" s="741"/>
      <c r="P28" s="546"/>
      <c r="Q28" s="741"/>
      <c r="R28" s="546"/>
      <c r="S28" s="741"/>
      <c r="T28" s="546"/>
      <c r="U28" s="741"/>
      <c r="V28" s="546"/>
      <c r="W28" s="741">
        <v>1</v>
      </c>
      <c r="X28" s="546">
        <v>110</v>
      </c>
      <c r="Y28" s="741">
        <v>1</v>
      </c>
      <c r="Z28" s="546">
        <v>110</v>
      </c>
      <c r="AA28" s="741">
        <v>1</v>
      </c>
      <c r="AB28" s="546">
        <v>110</v>
      </c>
      <c r="AC28" s="741">
        <v>1</v>
      </c>
      <c r="AD28" s="546">
        <v>110</v>
      </c>
      <c r="AE28" s="741">
        <v>1</v>
      </c>
      <c r="AF28" s="546">
        <v>110</v>
      </c>
      <c r="AG28" s="741">
        <v>1</v>
      </c>
      <c r="AH28" s="546">
        <v>110</v>
      </c>
      <c r="AI28" s="741">
        <v>1</v>
      </c>
      <c r="AJ28" s="546">
        <v>110</v>
      </c>
      <c r="AK28" s="741">
        <v>1</v>
      </c>
      <c r="AL28" s="546">
        <v>110</v>
      </c>
      <c r="AM28" s="741">
        <v>1</v>
      </c>
      <c r="AN28" s="546">
        <v>110</v>
      </c>
      <c r="AO28" s="741">
        <v>1</v>
      </c>
      <c r="AP28" s="546">
        <v>110</v>
      </c>
      <c r="AQ28" s="741"/>
      <c r="AR28" s="546"/>
      <c r="AS28" s="741"/>
      <c r="AT28" s="546"/>
      <c r="AU28" s="741"/>
      <c r="AV28" s="546"/>
      <c r="AW28" s="741"/>
      <c r="AX28" s="546"/>
      <c r="AY28" s="741"/>
      <c r="AZ28" s="546"/>
      <c r="BA28" s="741"/>
      <c r="BB28" s="667"/>
      <c r="BC28" s="549"/>
      <c r="BD28" s="539"/>
      <c r="BE28" s="735" t="s">
        <v>372</v>
      </c>
      <c r="BF28" s="736"/>
      <c r="BG28" s="737">
        <v>55</v>
      </c>
      <c r="BH28" s="738">
        <v>2</v>
      </c>
      <c r="BI28" s="739" t="s">
        <v>373</v>
      </c>
      <c r="BJ28" s="740"/>
      <c r="BK28" s="546"/>
      <c r="BL28" s="741"/>
      <c r="BM28" s="546"/>
      <c r="BN28" s="741"/>
      <c r="BO28" s="546"/>
      <c r="BP28" s="741"/>
      <c r="BQ28" s="546"/>
      <c r="BR28" s="741"/>
      <c r="BS28" s="546"/>
      <c r="BT28" s="741"/>
      <c r="BU28" s="546"/>
      <c r="BV28" s="741"/>
      <c r="BW28" s="546"/>
      <c r="BX28" s="741"/>
      <c r="BY28" s="546"/>
      <c r="BZ28" s="741">
        <v>1</v>
      </c>
      <c r="CA28" s="546">
        <v>110</v>
      </c>
      <c r="CB28" s="741">
        <v>1</v>
      </c>
      <c r="CC28" s="546">
        <v>110</v>
      </c>
      <c r="CD28" s="741">
        <v>1</v>
      </c>
      <c r="CE28" s="546">
        <v>110</v>
      </c>
      <c r="CF28" s="741">
        <v>1</v>
      </c>
      <c r="CG28" s="546">
        <v>110</v>
      </c>
      <c r="CH28" s="741">
        <v>1</v>
      </c>
      <c r="CI28" s="546">
        <v>110</v>
      </c>
      <c r="CJ28" s="741">
        <v>1</v>
      </c>
      <c r="CK28" s="546">
        <v>110</v>
      </c>
      <c r="CL28" s="741">
        <v>1</v>
      </c>
      <c r="CM28" s="546">
        <v>110</v>
      </c>
      <c r="CN28" s="741">
        <v>1</v>
      </c>
      <c r="CO28" s="546">
        <v>110</v>
      </c>
      <c r="CP28" s="741">
        <v>1</v>
      </c>
      <c r="CQ28" s="546">
        <v>110</v>
      </c>
      <c r="CR28" s="741">
        <v>1</v>
      </c>
      <c r="CS28" s="546">
        <v>110</v>
      </c>
      <c r="CT28" s="741"/>
      <c r="CU28" s="546"/>
      <c r="CV28" s="741"/>
      <c r="CW28" s="546"/>
      <c r="CX28" s="741"/>
      <c r="CY28" s="546"/>
      <c r="CZ28" s="741"/>
      <c r="DA28" s="546"/>
      <c r="DB28" s="741"/>
      <c r="DC28" s="546"/>
      <c r="DD28" s="741"/>
      <c r="DE28" s="667"/>
      <c r="DF28" s="549"/>
      <c r="DG28" s="539"/>
      <c r="DH28" s="735" t="s">
        <v>372</v>
      </c>
      <c r="DI28" s="736"/>
      <c r="DJ28" s="737">
        <v>55</v>
      </c>
      <c r="DK28" s="738">
        <v>2</v>
      </c>
      <c r="DL28" s="739" t="s">
        <v>373</v>
      </c>
      <c r="DM28" s="740"/>
      <c r="DN28" s="546"/>
      <c r="DO28" s="741"/>
      <c r="DP28" s="546"/>
      <c r="DQ28" s="741"/>
      <c r="DR28" s="546"/>
      <c r="DS28" s="741"/>
      <c r="DT28" s="546"/>
      <c r="DU28" s="741"/>
      <c r="DV28" s="546"/>
      <c r="DW28" s="741"/>
      <c r="DX28" s="546"/>
      <c r="DY28" s="741"/>
      <c r="DZ28" s="546"/>
      <c r="EA28" s="741"/>
      <c r="EB28" s="546"/>
      <c r="EC28" s="741">
        <v>1</v>
      </c>
      <c r="ED28" s="546">
        <v>110</v>
      </c>
      <c r="EE28" s="741">
        <v>1</v>
      </c>
      <c r="EF28" s="546">
        <v>110</v>
      </c>
      <c r="EG28" s="741">
        <v>1</v>
      </c>
      <c r="EH28" s="546">
        <v>110</v>
      </c>
      <c r="EI28" s="741">
        <v>1</v>
      </c>
      <c r="EJ28" s="546">
        <v>110</v>
      </c>
      <c r="EK28" s="741">
        <v>1</v>
      </c>
      <c r="EL28" s="546">
        <v>110</v>
      </c>
      <c r="EM28" s="741">
        <v>1</v>
      </c>
      <c r="EN28" s="546">
        <v>110</v>
      </c>
      <c r="EO28" s="741">
        <v>1</v>
      </c>
      <c r="EP28" s="546">
        <v>110</v>
      </c>
      <c r="EQ28" s="741">
        <v>1</v>
      </c>
      <c r="ER28" s="546">
        <v>110</v>
      </c>
      <c r="ES28" s="741">
        <v>1</v>
      </c>
      <c r="ET28" s="546">
        <v>110</v>
      </c>
      <c r="EU28" s="741">
        <v>1</v>
      </c>
      <c r="EV28" s="546">
        <v>110</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13</v>
      </c>
      <c r="E29" s="750">
        <v>17.600000000000001</v>
      </c>
      <c r="F29" s="751" t="s">
        <v>373</v>
      </c>
      <c r="G29" s="752"/>
      <c r="H29" s="574"/>
      <c r="I29" s="753"/>
      <c r="J29" s="574"/>
      <c r="K29" s="753"/>
      <c r="L29" s="574"/>
      <c r="M29" s="753"/>
      <c r="N29" s="574"/>
      <c r="O29" s="753"/>
      <c r="P29" s="574"/>
      <c r="Q29" s="753"/>
      <c r="R29" s="574"/>
      <c r="S29" s="753"/>
      <c r="T29" s="574"/>
      <c r="U29" s="753"/>
      <c r="V29" s="574"/>
      <c r="W29" s="753">
        <v>1</v>
      </c>
      <c r="X29" s="574">
        <v>229</v>
      </c>
      <c r="Y29" s="753">
        <v>1</v>
      </c>
      <c r="Z29" s="574">
        <v>229</v>
      </c>
      <c r="AA29" s="753">
        <v>1</v>
      </c>
      <c r="AB29" s="574">
        <v>229</v>
      </c>
      <c r="AC29" s="753">
        <v>1</v>
      </c>
      <c r="AD29" s="574">
        <v>229</v>
      </c>
      <c r="AE29" s="753">
        <v>1</v>
      </c>
      <c r="AF29" s="574">
        <v>229</v>
      </c>
      <c r="AG29" s="753">
        <v>1</v>
      </c>
      <c r="AH29" s="574">
        <v>229</v>
      </c>
      <c r="AI29" s="753">
        <v>1</v>
      </c>
      <c r="AJ29" s="574">
        <v>229</v>
      </c>
      <c r="AK29" s="753">
        <v>1</v>
      </c>
      <c r="AL29" s="574">
        <v>229</v>
      </c>
      <c r="AM29" s="753">
        <v>1</v>
      </c>
      <c r="AN29" s="574">
        <v>229</v>
      </c>
      <c r="AO29" s="753">
        <v>1</v>
      </c>
      <c r="AP29" s="574">
        <v>229</v>
      </c>
      <c r="AQ29" s="753"/>
      <c r="AR29" s="574"/>
      <c r="AS29" s="753"/>
      <c r="AT29" s="574"/>
      <c r="AU29" s="753"/>
      <c r="AV29" s="574"/>
      <c r="AW29" s="753"/>
      <c r="AX29" s="574"/>
      <c r="AY29" s="753"/>
      <c r="AZ29" s="574"/>
      <c r="BA29" s="753"/>
      <c r="BB29" s="576"/>
      <c r="BC29" s="549"/>
      <c r="BD29" s="539"/>
      <c r="BE29" s="747" t="s">
        <v>374</v>
      </c>
      <c r="BF29" s="748"/>
      <c r="BG29" s="749">
        <v>13</v>
      </c>
      <c r="BH29" s="750">
        <v>17.600000000000001</v>
      </c>
      <c r="BI29" s="751" t="s">
        <v>373</v>
      </c>
      <c r="BJ29" s="752"/>
      <c r="BK29" s="574"/>
      <c r="BL29" s="753"/>
      <c r="BM29" s="574"/>
      <c r="BN29" s="753"/>
      <c r="BO29" s="574"/>
      <c r="BP29" s="753"/>
      <c r="BQ29" s="574"/>
      <c r="BR29" s="753"/>
      <c r="BS29" s="574"/>
      <c r="BT29" s="753"/>
      <c r="BU29" s="574"/>
      <c r="BV29" s="753"/>
      <c r="BW29" s="574"/>
      <c r="BX29" s="753"/>
      <c r="BY29" s="574"/>
      <c r="BZ29" s="753">
        <v>1</v>
      </c>
      <c r="CA29" s="574">
        <v>229</v>
      </c>
      <c r="CB29" s="753">
        <v>1</v>
      </c>
      <c r="CC29" s="574">
        <v>229</v>
      </c>
      <c r="CD29" s="753">
        <v>1</v>
      </c>
      <c r="CE29" s="574">
        <v>229</v>
      </c>
      <c r="CF29" s="753">
        <v>1</v>
      </c>
      <c r="CG29" s="574">
        <v>229</v>
      </c>
      <c r="CH29" s="753">
        <v>1</v>
      </c>
      <c r="CI29" s="574">
        <v>229</v>
      </c>
      <c r="CJ29" s="753">
        <v>1</v>
      </c>
      <c r="CK29" s="574">
        <v>229</v>
      </c>
      <c r="CL29" s="753">
        <v>1</v>
      </c>
      <c r="CM29" s="574">
        <v>229</v>
      </c>
      <c r="CN29" s="753">
        <v>1</v>
      </c>
      <c r="CO29" s="574">
        <v>229</v>
      </c>
      <c r="CP29" s="753">
        <v>1</v>
      </c>
      <c r="CQ29" s="574">
        <v>229</v>
      </c>
      <c r="CR29" s="753">
        <v>1</v>
      </c>
      <c r="CS29" s="574">
        <v>229</v>
      </c>
      <c r="CT29" s="753"/>
      <c r="CU29" s="574"/>
      <c r="CV29" s="753"/>
      <c r="CW29" s="574"/>
      <c r="CX29" s="753"/>
      <c r="CY29" s="574"/>
      <c r="CZ29" s="753"/>
      <c r="DA29" s="574"/>
      <c r="DB29" s="753"/>
      <c r="DC29" s="574"/>
      <c r="DD29" s="753"/>
      <c r="DE29" s="576"/>
      <c r="DF29" s="549"/>
      <c r="DG29" s="539"/>
      <c r="DH29" s="747" t="s">
        <v>374</v>
      </c>
      <c r="DI29" s="748"/>
      <c r="DJ29" s="749">
        <v>13</v>
      </c>
      <c r="DK29" s="750">
        <v>17.600000000000001</v>
      </c>
      <c r="DL29" s="751" t="s">
        <v>373</v>
      </c>
      <c r="DM29" s="752"/>
      <c r="DN29" s="574"/>
      <c r="DO29" s="753"/>
      <c r="DP29" s="574"/>
      <c r="DQ29" s="753"/>
      <c r="DR29" s="574"/>
      <c r="DS29" s="753"/>
      <c r="DT29" s="574"/>
      <c r="DU29" s="753"/>
      <c r="DV29" s="574"/>
      <c r="DW29" s="753"/>
      <c r="DX29" s="574"/>
      <c r="DY29" s="753"/>
      <c r="DZ29" s="574"/>
      <c r="EA29" s="753"/>
      <c r="EB29" s="574"/>
      <c r="EC29" s="753">
        <v>1</v>
      </c>
      <c r="ED29" s="574">
        <v>229</v>
      </c>
      <c r="EE29" s="753">
        <v>1</v>
      </c>
      <c r="EF29" s="574">
        <v>229</v>
      </c>
      <c r="EG29" s="753">
        <v>1</v>
      </c>
      <c r="EH29" s="574">
        <v>229</v>
      </c>
      <c r="EI29" s="753">
        <v>1</v>
      </c>
      <c r="EJ29" s="574">
        <v>229</v>
      </c>
      <c r="EK29" s="753">
        <v>1</v>
      </c>
      <c r="EL29" s="574">
        <v>229</v>
      </c>
      <c r="EM29" s="753">
        <v>1</v>
      </c>
      <c r="EN29" s="574">
        <v>229</v>
      </c>
      <c r="EO29" s="753">
        <v>1</v>
      </c>
      <c r="EP29" s="574">
        <v>229</v>
      </c>
      <c r="EQ29" s="753">
        <v>1</v>
      </c>
      <c r="ER29" s="574">
        <v>229</v>
      </c>
      <c r="ES29" s="753">
        <v>1</v>
      </c>
      <c r="ET29" s="574">
        <v>229</v>
      </c>
      <c r="EU29" s="753">
        <v>1</v>
      </c>
      <c r="EV29" s="574">
        <v>229</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v>10</v>
      </c>
      <c r="D30" s="750">
        <v>17.600000000000001</v>
      </c>
      <c r="E30" s="759">
        <v>0.6</v>
      </c>
      <c r="F30" s="760" t="s">
        <v>373</v>
      </c>
      <c r="G30" s="752"/>
      <c r="H30" s="574"/>
      <c r="I30" s="753"/>
      <c r="J30" s="574"/>
      <c r="K30" s="753"/>
      <c r="L30" s="574"/>
      <c r="M30" s="753"/>
      <c r="N30" s="574"/>
      <c r="O30" s="753"/>
      <c r="P30" s="574"/>
      <c r="Q30" s="753"/>
      <c r="R30" s="574"/>
      <c r="S30" s="753"/>
      <c r="T30" s="574"/>
      <c r="U30" s="753"/>
      <c r="V30" s="574"/>
      <c r="W30" s="753">
        <v>1</v>
      </c>
      <c r="X30" s="574">
        <v>106</v>
      </c>
      <c r="Y30" s="753">
        <v>1</v>
      </c>
      <c r="Z30" s="574">
        <v>106</v>
      </c>
      <c r="AA30" s="753">
        <v>1</v>
      </c>
      <c r="AB30" s="574">
        <v>106</v>
      </c>
      <c r="AC30" s="753">
        <v>1</v>
      </c>
      <c r="AD30" s="574">
        <v>106</v>
      </c>
      <c r="AE30" s="753">
        <v>1</v>
      </c>
      <c r="AF30" s="574">
        <v>106</v>
      </c>
      <c r="AG30" s="753">
        <v>1</v>
      </c>
      <c r="AH30" s="574">
        <v>106</v>
      </c>
      <c r="AI30" s="753">
        <v>1</v>
      </c>
      <c r="AJ30" s="574">
        <v>106</v>
      </c>
      <c r="AK30" s="753">
        <v>1</v>
      </c>
      <c r="AL30" s="574">
        <v>106</v>
      </c>
      <c r="AM30" s="753">
        <v>1</v>
      </c>
      <c r="AN30" s="574">
        <v>106</v>
      </c>
      <c r="AO30" s="753">
        <v>1</v>
      </c>
      <c r="AP30" s="574">
        <v>106</v>
      </c>
      <c r="AQ30" s="753"/>
      <c r="AR30" s="574"/>
      <c r="AS30" s="753"/>
      <c r="AT30" s="574"/>
      <c r="AU30" s="753"/>
      <c r="AV30" s="574"/>
      <c r="AW30" s="753"/>
      <c r="AX30" s="574"/>
      <c r="AY30" s="753"/>
      <c r="AZ30" s="574"/>
      <c r="BA30" s="753"/>
      <c r="BB30" s="576"/>
      <c r="BC30" s="549"/>
      <c r="BD30" s="539"/>
      <c r="BE30" s="747" t="s">
        <v>375</v>
      </c>
      <c r="BF30" s="749">
        <v>10</v>
      </c>
      <c r="BG30" s="750">
        <v>17.600000000000001</v>
      </c>
      <c r="BH30" s="759">
        <v>0.6</v>
      </c>
      <c r="BI30" s="760" t="s">
        <v>373</v>
      </c>
      <c r="BJ30" s="752"/>
      <c r="BK30" s="574"/>
      <c r="BL30" s="753"/>
      <c r="BM30" s="574"/>
      <c r="BN30" s="753"/>
      <c r="BO30" s="574"/>
      <c r="BP30" s="753"/>
      <c r="BQ30" s="574"/>
      <c r="BR30" s="753"/>
      <c r="BS30" s="574"/>
      <c r="BT30" s="753"/>
      <c r="BU30" s="574"/>
      <c r="BV30" s="753"/>
      <c r="BW30" s="574"/>
      <c r="BX30" s="753"/>
      <c r="BY30" s="574"/>
      <c r="BZ30" s="753">
        <v>1</v>
      </c>
      <c r="CA30" s="574">
        <v>106</v>
      </c>
      <c r="CB30" s="753">
        <v>1</v>
      </c>
      <c r="CC30" s="574">
        <v>106</v>
      </c>
      <c r="CD30" s="753">
        <v>1</v>
      </c>
      <c r="CE30" s="574">
        <v>106</v>
      </c>
      <c r="CF30" s="753">
        <v>1</v>
      </c>
      <c r="CG30" s="574">
        <v>106</v>
      </c>
      <c r="CH30" s="753">
        <v>1</v>
      </c>
      <c r="CI30" s="574">
        <v>106</v>
      </c>
      <c r="CJ30" s="753">
        <v>1</v>
      </c>
      <c r="CK30" s="574">
        <v>106</v>
      </c>
      <c r="CL30" s="753">
        <v>1</v>
      </c>
      <c r="CM30" s="574">
        <v>106</v>
      </c>
      <c r="CN30" s="753">
        <v>1</v>
      </c>
      <c r="CO30" s="574">
        <v>106</v>
      </c>
      <c r="CP30" s="753">
        <v>1</v>
      </c>
      <c r="CQ30" s="574">
        <v>106</v>
      </c>
      <c r="CR30" s="753">
        <v>1</v>
      </c>
      <c r="CS30" s="574">
        <v>106</v>
      </c>
      <c r="CT30" s="753"/>
      <c r="CU30" s="574"/>
      <c r="CV30" s="753"/>
      <c r="CW30" s="574"/>
      <c r="CX30" s="753"/>
      <c r="CY30" s="574"/>
      <c r="CZ30" s="753"/>
      <c r="DA30" s="574"/>
      <c r="DB30" s="753"/>
      <c r="DC30" s="574"/>
      <c r="DD30" s="753"/>
      <c r="DE30" s="576"/>
      <c r="DF30" s="549"/>
      <c r="DG30" s="539"/>
      <c r="DH30" s="747" t="s">
        <v>375</v>
      </c>
      <c r="DI30" s="749">
        <v>10</v>
      </c>
      <c r="DJ30" s="750">
        <v>17.600000000000001</v>
      </c>
      <c r="DK30" s="759">
        <v>0.6</v>
      </c>
      <c r="DL30" s="760" t="s">
        <v>373</v>
      </c>
      <c r="DM30" s="752"/>
      <c r="DN30" s="574"/>
      <c r="DO30" s="753"/>
      <c r="DP30" s="574"/>
      <c r="DQ30" s="753"/>
      <c r="DR30" s="574"/>
      <c r="DS30" s="753"/>
      <c r="DT30" s="574"/>
      <c r="DU30" s="753"/>
      <c r="DV30" s="574"/>
      <c r="DW30" s="753"/>
      <c r="DX30" s="574"/>
      <c r="DY30" s="753"/>
      <c r="DZ30" s="574"/>
      <c r="EA30" s="753"/>
      <c r="EB30" s="574"/>
      <c r="EC30" s="753">
        <v>1</v>
      </c>
      <c r="ED30" s="574">
        <v>106</v>
      </c>
      <c r="EE30" s="753">
        <v>1</v>
      </c>
      <c r="EF30" s="574">
        <v>106</v>
      </c>
      <c r="EG30" s="753">
        <v>1</v>
      </c>
      <c r="EH30" s="574">
        <v>106</v>
      </c>
      <c r="EI30" s="753">
        <v>1</v>
      </c>
      <c r="EJ30" s="574">
        <v>106</v>
      </c>
      <c r="EK30" s="753">
        <v>1</v>
      </c>
      <c r="EL30" s="574">
        <v>106</v>
      </c>
      <c r="EM30" s="753">
        <v>1</v>
      </c>
      <c r="EN30" s="574">
        <v>106</v>
      </c>
      <c r="EO30" s="753">
        <v>1</v>
      </c>
      <c r="EP30" s="574">
        <v>106</v>
      </c>
      <c r="EQ30" s="753">
        <v>1</v>
      </c>
      <c r="ER30" s="574">
        <v>106</v>
      </c>
      <c r="ES30" s="753">
        <v>1</v>
      </c>
      <c r="ET30" s="574">
        <v>106</v>
      </c>
      <c r="EU30" s="753">
        <v>1</v>
      </c>
      <c r="EV30" s="574">
        <v>106</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65"/>
      <c r="J33" s="1264">
        <v>0</v>
      </c>
      <c r="K33" s="1265"/>
      <c r="L33" s="1264">
        <v>0</v>
      </c>
      <c r="M33" s="1265"/>
      <c r="N33" s="1264">
        <v>0</v>
      </c>
      <c r="O33" s="1265"/>
      <c r="P33" s="1264">
        <v>0</v>
      </c>
      <c r="Q33" s="1265"/>
      <c r="R33" s="1264">
        <v>0</v>
      </c>
      <c r="S33" s="1265"/>
      <c r="T33" s="1264">
        <v>0</v>
      </c>
      <c r="U33" s="1265"/>
      <c r="V33" s="1264">
        <v>0</v>
      </c>
      <c r="W33" s="1265"/>
      <c r="X33" s="1264">
        <v>445</v>
      </c>
      <c r="Y33" s="1265"/>
      <c r="Z33" s="1264">
        <v>445</v>
      </c>
      <c r="AA33" s="1265"/>
      <c r="AB33" s="1264">
        <v>445</v>
      </c>
      <c r="AC33" s="1265"/>
      <c r="AD33" s="1264">
        <v>445</v>
      </c>
      <c r="AE33" s="1265"/>
      <c r="AF33" s="1264">
        <v>445</v>
      </c>
      <c r="AG33" s="1265"/>
      <c r="AH33" s="1264">
        <v>445</v>
      </c>
      <c r="AI33" s="1265"/>
      <c r="AJ33" s="1264">
        <v>445</v>
      </c>
      <c r="AK33" s="1265"/>
      <c r="AL33" s="1264">
        <v>445</v>
      </c>
      <c r="AM33" s="1265"/>
      <c r="AN33" s="1264">
        <v>445</v>
      </c>
      <c r="AO33" s="1265"/>
      <c r="AP33" s="1264">
        <v>445</v>
      </c>
      <c r="AQ33" s="1265"/>
      <c r="AR33" s="1264">
        <v>0</v>
      </c>
      <c r="AS33" s="1265"/>
      <c r="AT33" s="1264">
        <v>0</v>
      </c>
      <c r="AU33" s="1265"/>
      <c r="AV33" s="1264">
        <v>0</v>
      </c>
      <c r="AW33" s="1265"/>
      <c r="AX33" s="1264">
        <v>0</v>
      </c>
      <c r="AY33" s="1265"/>
      <c r="AZ33" s="1264">
        <v>0</v>
      </c>
      <c r="BA33" s="1265"/>
      <c r="BB33" s="1266">
        <v>0</v>
      </c>
      <c r="BC33" s="635"/>
      <c r="BD33" s="628"/>
      <c r="BE33" s="629"/>
      <c r="BF33" s="629"/>
      <c r="BG33" s="630" t="s">
        <v>378</v>
      </c>
      <c r="BH33" s="629"/>
      <c r="BI33" s="629"/>
      <c r="BJ33" s="1263"/>
      <c r="BK33" s="1264">
        <v>0</v>
      </c>
      <c r="BL33" s="1265"/>
      <c r="BM33" s="1264">
        <v>0</v>
      </c>
      <c r="BN33" s="1265"/>
      <c r="BO33" s="1264">
        <v>0</v>
      </c>
      <c r="BP33" s="1265"/>
      <c r="BQ33" s="1264">
        <v>0</v>
      </c>
      <c r="BR33" s="1265"/>
      <c r="BS33" s="1264">
        <v>0</v>
      </c>
      <c r="BT33" s="1265"/>
      <c r="BU33" s="1264">
        <v>0</v>
      </c>
      <c r="BV33" s="1265"/>
      <c r="BW33" s="1264">
        <v>0</v>
      </c>
      <c r="BX33" s="1265"/>
      <c r="BY33" s="1264">
        <v>0</v>
      </c>
      <c r="BZ33" s="1265"/>
      <c r="CA33" s="1264">
        <v>445</v>
      </c>
      <c r="CB33" s="1265"/>
      <c r="CC33" s="1264">
        <v>445</v>
      </c>
      <c r="CD33" s="1265"/>
      <c r="CE33" s="1264">
        <v>445</v>
      </c>
      <c r="CF33" s="1265"/>
      <c r="CG33" s="1264">
        <v>445</v>
      </c>
      <c r="CH33" s="1265"/>
      <c r="CI33" s="1264">
        <v>445</v>
      </c>
      <c r="CJ33" s="1265"/>
      <c r="CK33" s="1264">
        <v>445</v>
      </c>
      <c r="CL33" s="1265"/>
      <c r="CM33" s="1264">
        <v>445</v>
      </c>
      <c r="CN33" s="1265"/>
      <c r="CO33" s="1264">
        <v>445</v>
      </c>
      <c r="CP33" s="1265"/>
      <c r="CQ33" s="1264">
        <v>445</v>
      </c>
      <c r="CR33" s="1265"/>
      <c r="CS33" s="1264">
        <v>445</v>
      </c>
      <c r="CT33" s="1265"/>
      <c r="CU33" s="1264">
        <v>0</v>
      </c>
      <c r="CV33" s="1265"/>
      <c r="CW33" s="1264">
        <v>0</v>
      </c>
      <c r="CX33" s="1265"/>
      <c r="CY33" s="1264">
        <v>0</v>
      </c>
      <c r="CZ33" s="1265"/>
      <c r="DA33" s="1264">
        <v>0</v>
      </c>
      <c r="DB33" s="1265"/>
      <c r="DC33" s="1264">
        <v>0</v>
      </c>
      <c r="DD33" s="1265"/>
      <c r="DE33" s="1266">
        <v>0</v>
      </c>
      <c r="DF33" s="635"/>
      <c r="DG33" s="628"/>
      <c r="DH33" s="629"/>
      <c r="DI33" s="629"/>
      <c r="DJ33" s="630" t="s">
        <v>378</v>
      </c>
      <c r="DK33" s="629"/>
      <c r="DL33" s="629"/>
      <c r="DM33" s="1263"/>
      <c r="DN33" s="1264">
        <v>0</v>
      </c>
      <c r="DO33" s="1265"/>
      <c r="DP33" s="1264">
        <v>0</v>
      </c>
      <c r="DQ33" s="1265"/>
      <c r="DR33" s="1264">
        <v>0</v>
      </c>
      <c r="DS33" s="1265"/>
      <c r="DT33" s="1264">
        <v>0</v>
      </c>
      <c r="DU33" s="1265"/>
      <c r="DV33" s="1264">
        <v>0</v>
      </c>
      <c r="DW33" s="1265"/>
      <c r="DX33" s="1264">
        <v>0</v>
      </c>
      <c r="DY33" s="1265"/>
      <c r="DZ33" s="1264">
        <v>0</v>
      </c>
      <c r="EA33" s="1265"/>
      <c r="EB33" s="1264">
        <v>0</v>
      </c>
      <c r="EC33" s="1265"/>
      <c r="ED33" s="1264">
        <v>445</v>
      </c>
      <c r="EE33" s="1265"/>
      <c r="EF33" s="1264">
        <v>445</v>
      </c>
      <c r="EG33" s="1265"/>
      <c r="EH33" s="1264">
        <v>445</v>
      </c>
      <c r="EI33" s="1265"/>
      <c r="EJ33" s="1264">
        <v>445</v>
      </c>
      <c r="EK33" s="1265"/>
      <c r="EL33" s="1264">
        <v>445</v>
      </c>
      <c r="EM33" s="1265"/>
      <c r="EN33" s="1264">
        <v>445</v>
      </c>
      <c r="EO33" s="1265"/>
      <c r="EP33" s="1264">
        <v>445</v>
      </c>
      <c r="EQ33" s="1265"/>
      <c r="ER33" s="1264">
        <v>445</v>
      </c>
      <c r="ES33" s="1265"/>
      <c r="ET33" s="1264">
        <v>445</v>
      </c>
      <c r="EU33" s="1265"/>
      <c r="EV33" s="1264">
        <v>445</v>
      </c>
      <c r="EW33" s="1265"/>
      <c r="EX33" s="1264">
        <v>0</v>
      </c>
      <c r="EY33" s="1265"/>
      <c r="EZ33" s="1264">
        <v>0</v>
      </c>
      <c r="FA33" s="1265"/>
      <c r="FB33" s="1264">
        <v>0</v>
      </c>
      <c r="FC33" s="1265"/>
      <c r="FD33" s="1264">
        <v>0</v>
      </c>
      <c r="FE33" s="1265"/>
      <c r="FF33" s="1264">
        <v>0</v>
      </c>
      <c r="FG33" s="1265"/>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205</v>
      </c>
      <c r="GV33" s="795"/>
      <c r="GW33" s="796">
        <v>11.76</v>
      </c>
      <c r="GX33" s="797">
        <v>5.43</v>
      </c>
      <c r="GY33" s="797">
        <v>0</v>
      </c>
      <c r="GZ33" s="797">
        <v>0</v>
      </c>
      <c r="HA33" s="797">
        <v>17.189999999999998</v>
      </c>
      <c r="HB33" s="798">
        <v>17.600000000000001</v>
      </c>
      <c r="HC33" s="404"/>
      <c r="HD33" s="635"/>
      <c r="HE33" s="406"/>
      <c r="HF33" s="406"/>
    </row>
    <row r="34" spans="1:219" ht="20.100000000000001" customHeight="1">
      <c r="A34" s="127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7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7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598</v>
      </c>
      <c r="GL34" s="807"/>
      <c r="GM34" s="807"/>
      <c r="GN34" s="807"/>
      <c r="GO34" s="807"/>
      <c r="GP34" s="807"/>
      <c r="GQ34" s="602">
        <v>9.3000000000000007</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76">
        <v>0</v>
      </c>
      <c r="I36" s="1277"/>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79">
        <v>0</v>
      </c>
      <c r="BC36" s="635"/>
      <c r="BD36" s="811"/>
      <c r="BE36" s="629"/>
      <c r="BF36" s="629"/>
      <c r="BG36" s="630" t="s">
        <v>382</v>
      </c>
      <c r="BH36" s="629"/>
      <c r="BI36" s="629"/>
      <c r="BJ36" s="1275"/>
      <c r="BK36" s="1276">
        <v>0</v>
      </c>
      <c r="BL36" s="1277"/>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79">
        <v>0</v>
      </c>
      <c r="DF36" s="635"/>
      <c r="DG36" s="811"/>
      <c r="DH36" s="629"/>
      <c r="DI36" s="629"/>
      <c r="DJ36" s="630" t="s">
        <v>382</v>
      </c>
      <c r="DK36" s="629"/>
      <c r="DL36" s="629"/>
      <c r="DM36" s="1275"/>
      <c r="DN36" s="1276">
        <v>0</v>
      </c>
      <c r="DO36" s="1277"/>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79">
        <v>0</v>
      </c>
      <c r="FI36" s="636"/>
      <c r="FJ36" s="820"/>
      <c r="FK36" s="629"/>
      <c r="FL36" s="629"/>
      <c r="FM36" s="630" t="s">
        <v>382</v>
      </c>
      <c r="FN36" s="629"/>
      <c r="FO36" s="629"/>
      <c r="FP36" s="1267"/>
      <c r="FQ36" s="1277"/>
      <c r="FR36" s="1276">
        <v>0</v>
      </c>
      <c r="FS36" s="1280"/>
      <c r="FT36" s="1277"/>
      <c r="FU36" s="128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17.189999999999998</v>
      </c>
      <c r="HB38" s="854">
        <v>17.600000000000001</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0.98</v>
      </c>
      <c r="HB39" s="566"/>
      <c r="HC39" s="517"/>
      <c r="HD39" s="549"/>
    </row>
    <row r="40" spans="1:219" ht="20.100000000000001" customHeight="1">
      <c r="A40" s="868"/>
      <c r="B40" s="629"/>
      <c r="C40" s="629"/>
      <c r="D40" s="630" t="s">
        <v>393</v>
      </c>
      <c r="E40" s="629"/>
      <c r="F40" s="629"/>
      <c r="G40" s="1275"/>
      <c r="H40" s="1276">
        <v>0</v>
      </c>
      <c r="I40" s="1277"/>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79">
        <v>0</v>
      </c>
      <c r="BC40" s="635"/>
      <c r="BD40" s="868"/>
      <c r="BE40" s="629"/>
      <c r="BF40" s="629"/>
      <c r="BG40" s="630" t="s">
        <v>393</v>
      </c>
      <c r="BH40" s="629"/>
      <c r="BI40" s="629"/>
      <c r="BJ40" s="1275"/>
      <c r="BK40" s="1276">
        <v>0</v>
      </c>
      <c r="BL40" s="1277"/>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79">
        <v>0</v>
      </c>
      <c r="DF40" s="635"/>
      <c r="DG40" s="868"/>
      <c r="DH40" s="629"/>
      <c r="DI40" s="629"/>
      <c r="DJ40" s="630" t="s">
        <v>393</v>
      </c>
      <c r="DK40" s="629"/>
      <c r="DL40" s="629"/>
      <c r="DM40" s="1275"/>
      <c r="DN40" s="1276">
        <v>0</v>
      </c>
      <c r="DO40" s="1277"/>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79">
        <v>0</v>
      </c>
      <c r="FI40" s="636"/>
      <c r="FJ40" s="820"/>
      <c r="FK40" s="629"/>
      <c r="FL40" s="629"/>
      <c r="FM40" s="630" t="s">
        <v>393</v>
      </c>
      <c r="FN40" s="629"/>
      <c r="FO40" s="629"/>
      <c r="FP40" s="1267"/>
      <c r="FQ40" s="1277"/>
      <c r="FR40" s="1276">
        <v>0</v>
      </c>
      <c r="FS40" s="1280"/>
      <c r="FT40" s="1277"/>
      <c r="FU40" s="128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600</v>
      </c>
      <c r="GV40" s="517"/>
      <c r="GW40" s="517"/>
      <c r="GX40" s="517"/>
      <c r="GY40" s="517"/>
      <c r="GZ40" s="517"/>
      <c r="HA40" s="873">
        <v>23.6</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488</v>
      </c>
      <c r="GV41" s="517"/>
      <c r="GW41" s="517"/>
      <c r="GX41" s="517"/>
      <c r="GY41" s="517"/>
      <c r="GZ41" s="517"/>
      <c r="HA41" s="873">
        <v>21.3</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164</v>
      </c>
      <c r="Y42" s="818"/>
      <c r="Z42" s="782">
        <v>97</v>
      </c>
      <c r="AA42" s="818"/>
      <c r="AB42" s="782">
        <v>90</v>
      </c>
      <c r="AC42" s="818"/>
      <c r="AD42" s="782">
        <v>83</v>
      </c>
      <c r="AE42" s="818"/>
      <c r="AF42" s="782">
        <v>76</v>
      </c>
      <c r="AG42" s="818"/>
      <c r="AH42" s="782">
        <v>70</v>
      </c>
      <c r="AI42" s="818"/>
      <c r="AJ42" s="782">
        <v>65</v>
      </c>
      <c r="AK42" s="818"/>
      <c r="AL42" s="782">
        <v>60</v>
      </c>
      <c r="AM42" s="818"/>
      <c r="AN42" s="782">
        <v>55</v>
      </c>
      <c r="AO42" s="818"/>
      <c r="AP42" s="782">
        <v>49</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164</v>
      </c>
      <c r="CB42" s="818"/>
      <c r="CC42" s="782">
        <v>97</v>
      </c>
      <c r="CD42" s="818"/>
      <c r="CE42" s="782">
        <v>90</v>
      </c>
      <c r="CF42" s="818"/>
      <c r="CG42" s="782">
        <v>83</v>
      </c>
      <c r="CH42" s="818"/>
      <c r="CI42" s="782">
        <v>76</v>
      </c>
      <c r="CJ42" s="818"/>
      <c r="CK42" s="782">
        <v>70</v>
      </c>
      <c r="CL42" s="818"/>
      <c r="CM42" s="782">
        <v>65</v>
      </c>
      <c r="CN42" s="818"/>
      <c r="CO42" s="782">
        <v>60</v>
      </c>
      <c r="CP42" s="818"/>
      <c r="CQ42" s="782">
        <v>55</v>
      </c>
      <c r="CR42" s="818"/>
      <c r="CS42" s="782">
        <v>49</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164</v>
      </c>
      <c r="EE42" s="818"/>
      <c r="EF42" s="782">
        <v>97</v>
      </c>
      <c r="EG42" s="818"/>
      <c r="EH42" s="782">
        <v>90</v>
      </c>
      <c r="EI42" s="818"/>
      <c r="EJ42" s="782">
        <v>83</v>
      </c>
      <c r="EK42" s="818"/>
      <c r="EL42" s="782">
        <v>76</v>
      </c>
      <c r="EM42" s="818"/>
      <c r="EN42" s="782">
        <v>70</v>
      </c>
      <c r="EO42" s="818"/>
      <c r="EP42" s="782">
        <v>65</v>
      </c>
      <c r="EQ42" s="818"/>
      <c r="ER42" s="782">
        <v>60</v>
      </c>
      <c r="ES42" s="818"/>
      <c r="ET42" s="782">
        <v>55</v>
      </c>
      <c r="EU42" s="818"/>
      <c r="EV42" s="782">
        <v>49</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2</v>
      </c>
      <c r="FS42" s="822"/>
      <c r="FT42" s="817"/>
      <c r="FU42" s="788">
        <v>2</v>
      </c>
      <c r="FV42" s="580"/>
      <c r="FW42" s="581"/>
      <c r="FX42" s="789"/>
      <c r="FY42" s="583"/>
      <c r="FZ42" s="790"/>
      <c r="GA42" s="585"/>
      <c r="GB42" s="791"/>
      <c r="GC42" s="587"/>
      <c r="GD42" s="791"/>
      <c r="GE42" s="588"/>
      <c r="GF42" s="823"/>
      <c r="GG42" s="589"/>
      <c r="GH42" s="589"/>
      <c r="GI42" s="589"/>
      <c r="GJ42" s="400"/>
      <c r="GK42" s="887"/>
      <c r="GL42" s="888"/>
      <c r="GM42" s="889">
        <v>9.3000000000000007</v>
      </c>
      <c r="GN42" s="889"/>
      <c r="GO42" s="889">
        <v>0</v>
      </c>
      <c r="GP42" s="889"/>
      <c r="GQ42" s="889">
        <v>9.3000000000000007</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76">
        <v>0</v>
      </c>
      <c r="I44" s="1277"/>
      <c r="J44" s="827">
        <v>0</v>
      </c>
      <c r="K44" s="1278"/>
      <c r="L44" s="827">
        <v>0</v>
      </c>
      <c r="M44" s="1278"/>
      <c r="N44" s="827">
        <v>0</v>
      </c>
      <c r="O44" s="1278"/>
      <c r="P44" s="827">
        <v>0</v>
      </c>
      <c r="Q44" s="1278"/>
      <c r="R44" s="827">
        <v>0</v>
      </c>
      <c r="S44" s="1278"/>
      <c r="T44" s="827">
        <v>0</v>
      </c>
      <c r="U44" s="1278"/>
      <c r="V44" s="827">
        <v>0</v>
      </c>
      <c r="W44" s="1278"/>
      <c r="X44" s="827">
        <v>164</v>
      </c>
      <c r="Y44" s="1278"/>
      <c r="Z44" s="827">
        <v>97</v>
      </c>
      <c r="AA44" s="1278"/>
      <c r="AB44" s="827">
        <v>90</v>
      </c>
      <c r="AC44" s="1278"/>
      <c r="AD44" s="827">
        <v>83</v>
      </c>
      <c r="AE44" s="1278"/>
      <c r="AF44" s="827">
        <v>76</v>
      </c>
      <c r="AG44" s="1278"/>
      <c r="AH44" s="827">
        <v>70</v>
      </c>
      <c r="AI44" s="1278"/>
      <c r="AJ44" s="827">
        <v>65</v>
      </c>
      <c r="AK44" s="1278"/>
      <c r="AL44" s="827">
        <v>60</v>
      </c>
      <c r="AM44" s="1278"/>
      <c r="AN44" s="827">
        <v>55</v>
      </c>
      <c r="AO44" s="1278"/>
      <c r="AP44" s="827">
        <v>49</v>
      </c>
      <c r="AQ44" s="1278"/>
      <c r="AR44" s="827">
        <v>0</v>
      </c>
      <c r="AS44" s="1278"/>
      <c r="AT44" s="827">
        <v>0</v>
      </c>
      <c r="AU44" s="1278"/>
      <c r="AV44" s="827">
        <v>0</v>
      </c>
      <c r="AW44" s="1278"/>
      <c r="AX44" s="827">
        <v>0</v>
      </c>
      <c r="AY44" s="1278"/>
      <c r="AZ44" s="827">
        <v>0</v>
      </c>
      <c r="BA44" s="1278"/>
      <c r="BB44" s="1279">
        <v>0</v>
      </c>
      <c r="BC44" s="635"/>
      <c r="BD44" s="912"/>
      <c r="BE44" s="629"/>
      <c r="BF44" s="629"/>
      <c r="BG44" s="630" t="s">
        <v>397</v>
      </c>
      <c r="BH44" s="629"/>
      <c r="BI44" s="629"/>
      <c r="BJ44" s="1275"/>
      <c r="BK44" s="1276">
        <v>0</v>
      </c>
      <c r="BL44" s="1277"/>
      <c r="BM44" s="827">
        <v>0</v>
      </c>
      <c r="BN44" s="1278"/>
      <c r="BO44" s="827">
        <v>0</v>
      </c>
      <c r="BP44" s="1278"/>
      <c r="BQ44" s="827">
        <v>0</v>
      </c>
      <c r="BR44" s="1278"/>
      <c r="BS44" s="827">
        <v>0</v>
      </c>
      <c r="BT44" s="1278"/>
      <c r="BU44" s="827">
        <v>0</v>
      </c>
      <c r="BV44" s="1278"/>
      <c r="BW44" s="827">
        <v>0</v>
      </c>
      <c r="BX44" s="1278"/>
      <c r="BY44" s="827">
        <v>0</v>
      </c>
      <c r="BZ44" s="1278"/>
      <c r="CA44" s="827">
        <v>164</v>
      </c>
      <c r="CB44" s="1278"/>
      <c r="CC44" s="827">
        <v>97</v>
      </c>
      <c r="CD44" s="1278"/>
      <c r="CE44" s="827">
        <v>90</v>
      </c>
      <c r="CF44" s="1278"/>
      <c r="CG44" s="827">
        <v>83</v>
      </c>
      <c r="CH44" s="1278"/>
      <c r="CI44" s="827">
        <v>76</v>
      </c>
      <c r="CJ44" s="1278"/>
      <c r="CK44" s="827">
        <v>70</v>
      </c>
      <c r="CL44" s="1278"/>
      <c r="CM44" s="827">
        <v>65</v>
      </c>
      <c r="CN44" s="1278"/>
      <c r="CO44" s="827">
        <v>60</v>
      </c>
      <c r="CP44" s="1278"/>
      <c r="CQ44" s="827">
        <v>55</v>
      </c>
      <c r="CR44" s="1278"/>
      <c r="CS44" s="827">
        <v>49</v>
      </c>
      <c r="CT44" s="1278"/>
      <c r="CU44" s="827">
        <v>0</v>
      </c>
      <c r="CV44" s="1278"/>
      <c r="CW44" s="827">
        <v>0</v>
      </c>
      <c r="CX44" s="1278"/>
      <c r="CY44" s="827">
        <v>0</v>
      </c>
      <c r="CZ44" s="1278"/>
      <c r="DA44" s="827">
        <v>0</v>
      </c>
      <c r="DB44" s="1278"/>
      <c r="DC44" s="827">
        <v>0</v>
      </c>
      <c r="DD44" s="1278"/>
      <c r="DE44" s="1279">
        <v>0</v>
      </c>
      <c r="DF44" s="635"/>
      <c r="DG44" s="912"/>
      <c r="DH44" s="629"/>
      <c r="DI44" s="629"/>
      <c r="DJ44" s="630" t="s">
        <v>397</v>
      </c>
      <c r="DK44" s="629"/>
      <c r="DL44" s="629"/>
      <c r="DM44" s="1275"/>
      <c r="DN44" s="1276">
        <v>0</v>
      </c>
      <c r="DO44" s="1277"/>
      <c r="DP44" s="827">
        <v>0</v>
      </c>
      <c r="DQ44" s="1278"/>
      <c r="DR44" s="827">
        <v>0</v>
      </c>
      <c r="DS44" s="1278"/>
      <c r="DT44" s="827">
        <v>0</v>
      </c>
      <c r="DU44" s="1278"/>
      <c r="DV44" s="827">
        <v>0</v>
      </c>
      <c r="DW44" s="1278"/>
      <c r="DX44" s="827">
        <v>0</v>
      </c>
      <c r="DY44" s="1278"/>
      <c r="DZ44" s="827">
        <v>0</v>
      </c>
      <c r="EA44" s="1278"/>
      <c r="EB44" s="827">
        <v>0</v>
      </c>
      <c r="EC44" s="1278"/>
      <c r="ED44" s="827">
        <v>164</v>
      </c>
      <c r="EE44" s="1278"/>
      <c r="EF44" s="827">
        <v>97</v>
      </c>
      <c r="EG44" s="1278"/>
      <c r="EH44" s="827">
        <v>90</v>
      </c>
      <c r="EI44" s="1278"/>
      <c r="EJ44" s="827">
        <v>83</v>
      </c>
      <c r="EK44" s="1278"/>
      <c r="EL44" s="827">
        <v>76</v>
      </c>
      <c r="EM44" s="1278"/>
      <c r="EN44" s="827">
        <v>70</v>
      </c>
      <c r="EO44" s="1278"/>
      <c r="EP44" s="827">
        <v>65</v>
      </c>
      <c r="EQ44" s="1278"/>
      <c r="ER44" s="827">
        <v>60</v>
      </c>
      <c r="ES44" s="1278"/>
      <c r="ET44" s="827">
        <v>55</v>
      </c>
      <c r="EU44" s="1278"/>
      <c r="EV44" s="827">
        <v>49</v>
      </c>
      <c r="EW44" s="1278"/>
      <c r="EX44" s="827">
        <v>0</v>
      </c>
      <c r="EY44" s="1278"/>
      <c r="EZ44" s="827">
        <v>0</v>
      </c>
      <c r="FA44" s="1278"/>
      <c r="FB44" s="827">
        <v>0</v>
      </c>
      <c r="FC44" s="1278"/>
      <c r="FD44" s="827">
        <v>0</v>
      </c>
      <c r="FE44" s="1278"/>
      <c r="FF44" s="827">
        <v>0</v>
      </c>
      <c r="FG44" s="1278"/>
      <c r="FH44" s="1279">
        <v>0</v>
      </c>
      <c r="FI44" s="636"/>
      <c r="FJ44" s="913"/>
      <c r="FK44" s="629"/>
      <c r="FL44" s="629"/>
      <c r="FM44" s="630" t="s">
        <v>397</v>
      </c>
      <c r="FN44" s="629"/>
      <c r="FO44" s="629"/>
      <c r="FP44" s="1267"/>
      <c r="FQ44" s="1277"/>
      <c r="FR44" s="1276">
        <v>2</v>
      </c>
      <c r="FS44" s="1280"/>
      <c r="FT44" s="1277"/>
      <c r="FU44" s="1281">
        <v>2</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6</v>
      </c>
      <c r="GN44" s="914"/>
      <c r="GO44" s="914">
        <v>0</v>
      </c>
      <c r="GP44" s="914"/>
      <c r="GQ44" s="889">
        <v>6</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866</v>
      </c>
      <c r="Y45" s="923"/>
      <c r="Z45" s="922">
        <v>882</v>
      </c>
      <c r="AA45" s="923"/>
      <c r="AB45" s="922">
        <v>928</v>
      </c>
      <c r="AC45" s="923"/>
      <c r="AD45" s="922">
        <v>926</v>
      </c>
      <c r="AE45" s="923"/>
      <c r="AF45" s="922">
        <v>873</v>
      </c>
      <c r="AG45" s="923"/>
      <c r="AH45" s="922">
        <v>772</v>
      </c>
      <c r="AI45" s="923"/>
      <c r="AJ45" s="922">
        <v>751</v>
      </c>
      <c r="AK45" s="923"/>
      <c r="AL45" s="922">
        <v>715</v>
      </c>
      <c r="AM45" s="923"/>
      <c r="AN45" s="922">
        <v>660</v>
      </c>
      <c r="AO45" s="923"/>
      <c r="AP45" s="922">
        <v>601</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878</v>
      </c>
      <c r="CB45" s="923"/>
      <c r="CC45" s="922">
        <v>911</v>
      </c>
      <c r="CD45" s="923"/>
      <c r="CE45" s="922">
        <v>962</v>
      </c>
      <c r="CF45" s="923"/>
      <c r="CG45" s="922">
        <v>950</v>
      </c>
      <c r="CH45" s="923"/>
      <c r="CI45" s="922">
        <v>875</v>
      </c>
      <c r="CJ45" s="923"/>
      <c r="CK45" s="922">
        <v>729</v>
      </c>
      <c r="CL45" s="923"/>
      <c r="CM45" s="922">
        <v>720</v>
      </c>
      <c r="CN45" s="923"/>
      <c r="CO45" s="922">
        <v>693</v>
      </c>
      <c r="CP45" s="923"/>
      <c r="CQ45" s="922">
        <v>659</v>
      </c>
      <c r="CR45" s="923"/>
      <c r="CS45" s="922">
        <v>607</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1107</v>
      </c>
      <c r="EE45" s="923"/>
      <c r="EF45" s="922">
        <v>1172</v>
      </c>
      <c r="EG45" s="923"/>
      <c r="EH45" s="922">
        <v>1239</v>
      </c>
      <c r="EI45" s="923"/>
      <c r="EJ45" s="922">
        <v>1221</v>
      </c>
      <c r="EK45" s="923"/>
      <c r="EL45" s="922">
        <v>1120</v>
      </c>
      <c r="EM45" s="923"/>
      <c r="EN45" s="922">
        <v>965</v>
      </c>
      <c r="EO45" s="923"/>
      <c r="EP45" s="922">
        <v>787</v>
      </c>
      <c r="EQ45" s="923"/>
      <c r="ER45" s="922">
        <v>668</v>
      </c>
      <c r="ES45" s="923"/>
      <c r="ET45" s="922">
        <v>612</v>
      </c>
      <c r="EU45" s="923"/>
      <c r="EV45" s="922">
        <v>561</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294</v>
      </c>
      <c r="FS45" s="927"/>
      <c r="FT45" s="926"/>
      <c r="FU45" s="928">
        <v>303</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515</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399</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401</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909</v>
      </c>
      <c r="Y47" s="955"/>
      <c r="Z47" s="954">
        <v>926</v>
      </c>
      <c r="AA47" s="955"/>
      <c r="AB47" s="954">
        <v>974</v>
      </c>
      <c r="AC47" s="955"/>
      <c r="AD47" s="954">
        <v>972</v>
      </c>
      <c r="AE47" s="955"/>
      <c r="AF47" s="954">
        <v>917</v>
      </c>
      <c r="AG47" s="955"/>
      <c r="AH47" s="954">
        <v>811</v>
      </c>
      <c r="AI47" s="955"/>
      <c r="AJ47" s="954">
        <v>789</v>
      </c>
      <c r="AK47" s="955"/>
      <c r="AL47" s="954">
        <v>751</v>
      </c>
      <c r="AM47" s="955"/>
      <c r="AN47" s="954">
        <v>693</v>
      </c>
      <c r="AO47" s="955"/>
      <c r="AP47" s="954">
        <v>631</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922</v>
      </c>
      <c r="CB47" s="955"/>
      <c r="CC47" s="954">
        <v>957</v>
      </c>
      <c r="CD47" s="955"/>
      <c r="CE47" s="954">
        <v>1010</v>
      </c>
      <c r="CF47" s="955"/>
      <c r="CG47" s="954">
        <v>998</v>
      </c>
      <c r="CH47" s="955"/>
      <c r="CI47" s="954">
        <v>919</v>
      </c>
      <c r="CJ47" s="955"/>
      <c r="CK47" s="954">
        <v>765</v>
      </c>
      <c r="CL47" s="955"/>
      <c r="CM47" s="954">
        <v>756</v>
      </c>
      <c r="CN47" s="955"/>
      <c r="CO47" s="954">
        <v>728</v>
      </c>
      <c r="CP47" s="955"/>
      <c r="CQ47" s="954">
        <v>692</v>
      </c>
      <c r="CR47" s="955"/>
      <c r="CS47" s="954">
        <v>637</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1162</v>
      </c>
      <c r="EE47" s="955"/>
      <c r="EF47" s="954">
        <v>1231</v>
      </c>
      <c r="EG47" s="955"/>
      <c r="EH47" s="954">
        <v>1301</v>
      </c>
      <c r="EI47" s="955"/>
      <c r="EJ47" s="954">
        <v>1282</v>
      </c>
      <c r="EK47" s="955"/>
      <c r="EL47" s="954">
        <v>1176</v>
      </c>
      <c r="EM47" s="955"/>
      <c r="EN47" s="954">
        <v>1013</v>
      </c>
      <c r="EO47" s="955"/>
      <c r="EP47" s="954">
        <v>826</v>
      </c>
      <c r="EQ47" s="955"/>
      <c r="ER47" s="954">
        <v>701</v>
      </c>
      <c r="ES47" s="955"/>
      <c r="ET47" s="954">
        <v>643</v>
      </c>
      <c r="EU47" s="955"/>
      <c r="EV47" s="954">
        <v>589</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294</v>
      </c>
      <c r="FS47" s="963"/>
      <c r="FT47" s="962"/>
      <c r="FU47" s="964">
        <v>303</v>
      </c>
      <c r="FV47" s="965">
        <v>11</v>
      </c>
      <c r="FW47" s="954">
        <v>974</v>
      </c>
      <c r="FX47" s="966">
        <v>11</v>
      </c>
      <c r="FY47" s="954">
        <v>1010</v>
      </c>
      <c r="FZ47" s="966">
        <v>11</v>
      </c>
      <c r="GA47" s="954">
        <v>1301</v>
      </c>
      <c r="GB47" s="967" t="s">
        <v>330</v>
      </c>
      <c r="GC47" s="954">
        <v>1301</v>
      </c>
      <c r="GD47" s="967" t="s">
        <v>332</v>
      </c>
      <c r="GE47" s="968">
        <v>303</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v>66</v>
      </c>
      <c r="E49" s="738">
        <v>2</v>
      </c>
      <c r="F49" s="982" t="s">
        <v>373</v>
      </c>
      <c r="G49" s="740"/>
      <c r="H49" s="546"/>
      <c r="I49" s="741"/>
      <c r="J49" s="546"/>
      <c r="K49" s="741"/>
      <c r="L49" s="546"/>
      <c r="M49" s="741"/>
      <c r="N49" s="546"/>
      <c r="O49" s="741"/>
      <c r="P49" s="546"/>
      <c r="Q49" s="741"/>
      <c r="R49" s="546"/>
      <c r="S49" s="741"/>
      <c r="T49" s="546"/>
      <c r="U49" s="741"/>
      <c r="V49" s="546"/>
      <c r="W49" s="741">
        <v>1</v>
      </c>
      <c r="X49" s="546">
        <v>132</v>
      </c>
      <c r="Y49" s="741">
        <v>1</v>
      </c>
      <c r="Z49" s="546">
        <v>132</v>
      </c>
      <c r="AA49" s="741">
        <v>1</v>
      </c>
      <c r="AB49" s="546">
        <v>132</v>
      </c>
      <c r="AC49" s="741">
        <v>1</v>
      </c>
      <c r="AD49" s="546">
        <v>132</v>
      </c>
      <c r="AE49" s="741">
        <v>1</v>
      </c>
      <c r="AF49" s="546">
        <v>132</v>
      </c>
      <c r="AG49" s="741">
        <v>1</v>
      </c>
      <c r="AH49" s="546">
        <v>132</v>
      </c>
      <c r="AI49" s="741">
        <v>1</v>
      </c>
      <c r="AJ49" s="546">
        <v>132</v>
      </c>
      <c r="AK49" s="741">
        <v>1</v>
      </c>
      <c r="AL49" s="546">
        <v>132</v>
      </c>
      <c r="AM49" s="741">
        <v>1</v>
      </c>
      <c r="AN49" s="546">
        <v>132</v>
      </c>
      <c r="AO49" s="741">
        <v>1</v>
      </c>
      <c r="AP49" s="546">
        <v>132</v>
      </c>
      <c r="AQ49" s="741"/>
      <c r="AR49" s="546"/>
      <c r="AS49" s="741"/>
      <c r="AT49" s="546"/>
      <c r="AU49" s="741"/>
      <c r="AV49" s="546"/>
      <c r="AW49" s="741"/>
      <c r="AX49" s="546"/>
      <c r="AY49" s="983"/>
      <c r="AZ49" s="984"/>
      <c r="BA49" s="985"/>
      <c r="BB49" s="986"/>
      <c r="BC49" s="917"/>
      <c r="BD49" s="980"/>
      <c r="BE49" s="735" t="s">
        <v>372</v>
      </c>
      <c r="BF49" s="981"/>
      <c r="BG49" s="737"/>
      <c r="BH49" s="738">
        <v>2</v>
      </c>
      <c r="BI49" s="982" t="s">
        <v>373</v>
      </c>
      <c r="BJ49" s="740"/>
      <c r="BK49" s="546"/>
      <c r="BL49" s="741"/>
      <c r="BM49" s="546"/>
      <c r="BN49" s="741"/>
      <c r="BO49" s="546"/>
      <c r="BP49" s="741"/>
      <c r="BQ49" s="546"/>
      <c r="BR49" s="741"/>
      <c r="BS49" s="546"/>
      <c r="BT49" s="741"/>
      <c r="BU49" s="546"/>
      <c r="BV49" s="741"/>
      <c r="BW49" s="546"/>
      <c r="BX49" s="741"/>
      <c r="BY49" s="546"/>
      <c r="BZ49" s="741">
        <v>1</v>
      </c>
      <c r="CA49" s="546">
        <v>132</v>
      </c>
      <c r="CB49" s="741">
        <v>1</v>
      </c>
      <c r="CC49" s="546">
        <v>132</v>
      </c>
      <c r="CD49" s="741">
        <v>1</v>
      </c>
      <c r="CE49" s="546">
        <v>132</v>
      </c>
      <c r="CF49" s="741">
        <v>1</v>
      </c>
      <c r="CG49" s="546">
        <v>132</v>
      </c>
      <c r="CH49" s="741">
        <v>1</v>
      </c>
      <c r="CI49" s="546">
        <v>132</v>
      </c>
      <c r="CJ49" s="741">
        <v>1</v>
      </c>
      <c r="CK49" s="546">
        <v>132</v>
      </c>
      <c r="CL49" s="741">
        <v>1</v>
      </c>
      <c r="CM49" s="546">
        <v>132</v>
      </c>
      <c r="CN49" s="741">
        <v>1</v>
      </c>
      <c r="CO49" s="546">
        <v>132</v>
      </c>
      <c r="CP49" s="741">
        <v>1</v>
      </c>
      <c r="CQ49" s="546">
        <v>132</v>
      </c>
      <c r="CR49" s="741">
        <v>1</v>
      </c>
      <c r="CS49" s="546">
        <v>132</v>
      </c>
      <c r="CT49" s="741"/>
      <c r="CU49" s="546"/>
      <c r="CV49" s="741"/>
      <c r="CW49" s="546"/>
      <c r="CX49" s="741"/>
      <c r="CY49" s="546"/>
      <c r="CZ49" s="741"/>
      <c r="DA49" s="546"/>
      <c r="DB49" s="983"/>
      <c r="DC49" s="984"/>
      <c r="DD49" s="985"/>
      <c r="DE49" s="986"/>
      <c r="DF49" s="917"/>
      <c r="DG49" s="980"/>
      <c r="DH49" s="735" t="s">
        <v>372</v>
      </c>
      <c r="DI49" s="981"/>
      <c r="DJ49" s="737"/>
      <c r="DK49" s="738">
        <v>2</v>
      </c>
      <c r="DL49" s="982" t="s">
        <v>373</v>
      </c>
      <c r="DM49" s="740"/>
      <c r="DN49" s="546"/>
      <c r="DO49" s="741"/>
      <c r="DP49" s="546"/>
      <c r="DQ49" s="741"/>
      <c r="DR49" s="546"/>
      <c r="DS49" s="741"/>
      <c r="DT49" s="546"/>
      <c r="DU49" s="741"/>
      <c r="DV49" s="546"/>
      <c r="DW49" s="741"/>
      <c r="DX49" s="546"/>
      <c r="DY49" s="741"/>
      <c r="DZ49" s="546"/>
      <c r="EA49" s="741"/>
      <c r="EB49" s="546"/>
      <c r="EC49" s="741">
        <v>1</v>
      </c>
      <c r="ED49" s="546">
        <v>132</v>
      </c>
      <c r="EE49" s="741">
        <v>1</v>
      </c>
      <c r="EF49" s="546">
        <v>132</v>
      </c>
      <c r="EG49" s="741">
        <v>1</v>
      </c>
      <c r="EH49" s="546">
        <v>132</v>
      </c>
      <c r="EI49" s="741">
        <v>1</v>
      </c>
      <c r="EJ49" s="546">
        <v>132</v>
      </c>
      <c r="EK49" s="741">
        <v>1</v>
      </c>
      <c r="EL49" s="546">
        <v>132</v>
      </c>
      <c r="EM49" s="741">
        <v>1</v>
      </c>
      <c r="EN49" s="546">
        <v>132</v>
      </c>
      <c r="EO49" s="741">
        <v>1</v>
      </c>
      <c r="EP49" s="546">
        <v>132</v>
      </c>
      <c r="EQ49" s="741">
        <v>1</v>
      </c>
      <c r="ER49" s="546">
        <v>132</v>
      </c>
      <c r="ES49" s="741">
        <v>1</v>
      </c>
      <c r="ET49" s="546">
        <v>132</v>
      </c>
      <c r="EU49" s="741">
        <v>1</v>
      </c>
      <c r="EV49" s="546">
        <v>132</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599</v>
      </c>
      <c r="GV50" s="567"/>
      <c r="GW50" s="567"/>
      <c r="GX50" s="567"/>
      <c r="GY50" s="602"/>
      <c r="GZ50" s="566"/>
      <c r="HA50" s="602">
        <v>0.1</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0.1</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132</v>
      </c>
      <c r="Y52" s="1038"/>
      <c r="Z52" s="1037">
        <v>132</v>
      </c>
      <c r="AA52" s="1038"/>
      <c r="AB52" s="1037">
        <v>132</v>
      </c>
      <c r="AC52" s="1038"/>
      <c r="AD52" s="1037">
        <v>132</v>
      </c>
      <c r="AE52" s="1038"/>
      <c r="AF52" s="1037">
        <v>132</v>
      </c>
      <c r="AG52" s="1038"/>
      <c r="AH52" s="1037">
        <v>132</v>
      </c>
      <c r="AI52" s="1038"/>
      <c r="AJ52" s="1037">
        <v>132</v>
      </c>
      <c r="AK52" s="1038"/>
      <c r="AL52" s="1037">
        <v>132</v>
      </c>
      <c r="AM52" s="1038"/>
      <c r="AN52" s="1037">
        <v>132</v>
      </c>
      <c r="AO52" s="1038"/>
      <c r="AP52" s="1037">
        <v>132</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132</v>
      </c>
      <c r="CB52" s="1038"/>
      <c r="CC52" s="1037">
        <v>132</v>
      </c>
      <c r="CD52" s="1038"/>
      <c r="CE52" s="1037">
        <v>132</v>
      </c>
      <c r="CF52" s="1038"/>
      <c r="CG52" s="1037">
        <v>132</v>
      </c>
      <c r="CH52" s="1038"/>
      <c r="CI52" s="1037">
        <v>132</v>
      </c>
      <c r="CJ52" s="1038"/>
      <c r="CK52" s="1037">
        <v>132</v>
      </c>
      <c r="CL52" s="1038"/>
      <c r="CM52" s="1037">
        <v>132</v>
      </c>
      <c r="CN52" s="1038"/>
      <c r="CO52" s="1037">
        <v>132</v>
      </c>
      <c r="CP52" s="1038"/>
      <c r="CQ52" s="1037">
        <v>132</v>
      </c>
      <c r="CR52" s="1038"/>
      <c r="CS52" s="1037">
        <v>132</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132</v>
      </c>
      <c r="EE52" s="1038"/>
      <c r="EF52" s="1037">
        <v>132</v>
      </c>
      <c r="EG52" s="1038"/>
      <c r="EH52" s="1037">
        <v>132</v>
      </c>
      <c r="EI52" s="1038"/>
      <c r="EJ52" s="1037">
        <v>132</v>
      </c>
      <c r="EK52" s="1038"/>
      <c r="EL52" s="1037">
        <v>132</v>
      </c>
      <c r="EM52" s="1038"/>
      <c r="EN52" s="1037">
        <v>132</v>
      </c>
      <c r="EO52" s="1038"/>
      <c r="EP52" s="1037">
        <v>132</v>
      </c>
      <c r="EQ52" s="1038"/>
      <c r="ER52" s="1037">
        <v>132</v>
      </c>
      <c r="ES52" s="1038"/>
      <c r="ET52" s="1037">
        <v>132</v>
      </c>
      <c r="EU52" s="1038"/>
      <c r="EV52" s="1037">
        <v>132</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11</v>
      </c>
      <c r="FW52" s="1048">
        <v>132</v>
      </c>
      <c r="FX52" s="1049">
        <v>11</v>
      </c>
      <c r="FY52" s="1048">
        <v>132</v>
      </c>
      <c r="FZ52" s="1049">
        <v>11</v>
      </c>
      <c r="GA52" s="1048">
        <v>132</v>
      </c>
      <c r="GB52" s="1050" t="s">
        <v>330</v>
      </c>
      <c r="GC52" s="1051">
        <v>132</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1041</v>
      </c>
      <c r="Y53" s="1065"/>
      <c r="Z53" s="1064">
        <v>1058</v>
      </c>
      <c r="AA53" s="1065"/>
      <c r="AB53" s="1064">
        <v>1106</v>
      </c>
      <c r="AC53" s="1065"/>
      <c r="AD53" s="1064">
        <v>1104</v>
      </c>
      <c r="AE53" s="1065"/>
      <c r="AF53" s="1064">
        <v>1049</v>
      </c>
      <c r="AG53" s="1065"/>
      <c r="AH53" s="1064">
        <v>943</v>
      </c>
      <c r="AI53" s="1065"/>
      <c r="AJ53" s="1064">
        <v>921</v>
      </c>
      <c r="AK53" s="1065"/>
      <c r="AL53" s="1064">
        <v>883</v>
      </c>
      <c r="AM53" s="1065"/>
      <c r="AN53" s="1064">
        <v>825</v>
      </c>
      <c r="AO53" s="1065"/>
      <c r="AP53" s="1064">
        <v>763</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1054</v>
      </c>
      <c r="CB53" s="1065"/>
      <c r="CC53" s="1064">
        <v>1089</v>
      </c>
      <c r="CD53" s="1065"/>
      <c r="CE53" s="1064">
        <v>1142</v>
      </c>
      <c r="CF53" s="1065"/>
      <c r="CG53" s="1064">
        <v>1130</v>
      </c>
      <c r="CH53" s="1065"/>
      <c r="CI53" s="1064">
        <v>1051</v>
      </c>
      <c r="CJ53" s="1065"/>
      <c r="CK53" s="1064">
        <v>897</v>
      </c>
      <c r="CL53" s="1065"/>
      <c r="CM53" s="1064">
        <v>888</v>
      </c>
      <c r="CN53" s="1065"/>
      <c r="CO53" s="1064">
        <v>860</v>
      </c>
      <c r="CP53" s="1065"/>
      <c r="CQ53" s="1064">
        <v>824</v>
      </c>
      <c r="CR53" s="1065"/>
      <c r="CS53" s="1064">
        <v>769</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1294</v>
      </c>
      <c r="EE53" s="1065"/>
      <c r="EF53" s="1064">
        <v>1363</v>
      </c>
      <c r="EG53" s="1065"/>
      <c r="EH53" s="1064">
        <v>1433</v>
      </c>
      <c r="EI53" s="1065"/>
      <c r="EJ53" s="1064">
        <v>1414</v>
      </c>
      <c r="EK53" s="1065"/>
      <c r="EL53" s="1064">
        <v>1308</v>
      </c>
      <c r="EM53" s="1065"/>
      <c r="EN53" s="1064">
        <v>1145</v>
      </c>
      <c r="EO53" s="1065"/>
      <c r="EP53" s="1064">
        <v>958</v>
      </c>
      <c r="EQ53" s="1065"/>
      <c r="ER53" s="1064">
        <v>833</v>
      </c>
      <c r="ES53" s="1065"/>
      <c r="ET53" s="1064">
        <v>775</v>
      </c>
      <c r="EU53" s="1065"/>
      <c r="EV53" s="1064">
        <v>721</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294</v>
      </c>
      <c r="FS53" s="1072"/>
      <c r="FT53" s="1071"/>
      <c r="FU53" s="1073">
        <v>303</v>
      </c>
      <c r="FV53" s="1074">
        <v>11</v>
      </c>
      <c r="FW53" s="1075">
        <v>1106</v>
      </c>
      <c r="FX53" s="1076">
        <v>11</v>
      </c>
      <c r="FY53" s="1075">
        <v>1142</v>
      </c>
      <c r="FZ53" s="1076">
        <v>11</v>
      </c>
      <c r="GA53" s="1075">
        <v>1433</v>
      </c>
      <c r="GB53" s="1077" t="s">
        <v>330</v>
      </c>
      <c r="GC53" s="1075">
        <v>1433</v>
      </c>
      <c r="GD53" s="1077" t="s">
        <v>332</v>
      </c>
      <c r="GE53" s="1078">
        <v>303</v>
      </c>
      <c r="GF53" s="671"/>
      <c r="GG53" s="969"/>
      <c r="GH53" s="969"/>
      <c r="GI53" s="969"/>
      <c r="GJ53" s="932"/>
      <c r="GK53" s="404"/>
      <c r="GL53" s="1079">
        <v>10</v>
      </c>
      <c r="GM53" s="1080">
        <v>1</v>
      </c>
      <c r="GN53" s="1081">
        <v>0.92</v>
      </c>
      <c r="GO53" s="1082">
        <v>5.5</v>
      </c>
      <c r="GP53" s="1082">
        <v>0</v>
      </c>
      <c r="GQ53" s="1083">
        <v>5.5</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59.1</v>
      </c>
      <c r="Y54" s="1092"/>
      <c r="Z54" s="1091">
        <v>60.1</v>
      </c>
      <c r="AA54" s="1092"/>
      <c r="AB54" s="1091">
        <v>62.8</v>
      </c>
      <c r="AC54" s="1092"/>
      <c r="AD54" s="1091">
        <v>62.7</v>
      </c>
      <c r="AE54" s="1092"/>
      <c r="AF54" s="1091">
        <v>59.6</v>
      </c>
      <c r="AG54" s="1092"/>
      <c r="AH54" s="1091">
        <v>53.6</v>
      </c>
      <c r="AI54" s="1092"/>
      <c r="AJ54" s="1091">
        <v>52.3</v>
      </c>
      <c r="AK54" s="1092"/>
      <c r="AL54" s="1091">
        <v>50.2</v>
      </c>
      <c r="AM54" s="1092"/>
      <c r="AN54" s="1091">
        <v>46.9</v>
      </c>
      <c r="AO54" s="1092"/>
      <c r="AP54" s="1091">
        <v>43.4</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59.9</v>
      </c>
      <c r="CB54" s="1092"/>
      <c r="CC54" s="1091">
        <v>61.9</v>
      </c>
      <c r="CD54" s="1092"/>
      <c r="CE54" s="1091">
        <v>64.900000000000006</v>
      </c>
      <c r="CF54" s="1092"/>
      <c r="CG54" s="1091">
        <v>64.2</v>
      </c>
      <c r="CH54" s="1092"/>
      <c r="CI54" s="1091">
        <v>59.7</v>
      </c>
      <c r="CJ54" s="1092"/>
      <c r="CK54" s="1091">
        <v>51</v>
      </c>
      <c r="CL54" s="1092"/>
      <c r="CM54" s="1091">
        <v>50.5</v>
      </c>
      <c r="CN54" s="1092"/>
      <c r="CO54" s="1091">
        <v>48.9</v>
      </c>
      <c r="CP54" s="1092"/>
      <c r="CQ54" s="1091">
        <v>46.8</v>
      </c>
      <c r="CR54" s="1092"/>
      <c r="CS54" s="1091">
        <v>43.7</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73.5</v>
      </c>
      <c r="EE54" s="1092"/>
      <c r="EF54" s="1091">
        <v>77.400000000000006</v>
      </c>
      <c r="EG54" s="1092"/>
      <c r="EH54" s="1091">
        <v>81.400000000000006</v>
      </c>
      <c r="EI54" s="1092"/>
      <c r="EJ54" s="1091">
        <v>80.3</v>
      </c>
      <c r="EK54" s="1092"/>
      <c r="EL54" s="1091">
        <v>74.3</v>
      </c>
      <c r="EM54" s="1092"/>
      <c r="EN54" s="1091">
        <v>65.099999999999994</v>
      </c>
      <c r="EO54" s="1092"/>
      <c r="EP54" s="1091">
        <v>54.4</v>
      </c>
      <c r="EQ54" s="1092"/>
      <c r="ER54" s="1091">
        <v>47.3</v>
      </c>
      <c r="ES54" s="1092"/>
      <c r="ET54" s="1091">
        <v>44</v>
      </c>
      <c r="EU54" s="1092"/>
      <c r="EV54" s="1091">
        <v>41</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16.7</v>
      </c>
      <c r="FS54" s="1095"/>
      <c r="FT54" s="1092"/>
      <c r="FU54" s="1096">
        <v>17.2</v>
      </c>
      <c r="FV54" s="1095"/>
      <c r="FW54" s="1091">
        <f>IF(面積=0,0,ROUND(FW53/面積,1))</f>
        <v>62.8</v>
      </c>
      <c r="FX54" s="1095"/>
      <c r="FY54" s="1091">
        <f>IF(面積=0,0,ROUND(FY53/面積,1))</f>
        <v>64.900000000000006</v>
      </c>
      <c r="FZ54" s="1095"/>
      <c r="GA54" s="1091">
        <f>IF(面積=0,0,ROUND(GA53/面積,1))</f>
        <v>81.400000000000006</v>
      </c>
      <c r="GB54" s="1095"/>
      <c r="GC54" s="1091">
        <f>IF(面積=0,0,ROUND(GC53/面積,1))</f>
        <v>81.400000000000006</v>
      </c>
      <c r="GD54" s="1095"/>
      <c r="GE54" s="1093">
        <f>IF(面積=0,0,ROUND(GE53/面積,1))</f>
        <v>17.2</v>
      </c>
      <c r="GF54" s="671"/>
      <c r="GG54" s="916"/>
      <c r="GH54" s="916"/>
      <c r="GI54" s="916"/>
      <c r="GJ54" s="567"/>
      <c r="GK54" s="566"/>
      <c r="GL54" s="1079">
        <v>11</v>
      </c>
      <c r="GM54" s="1080">
        <v>2</v>
      </c>
      <c r="GN54" s="1081">
        <v>0.85</v>
      </c>
      <c r="GO54" s="1082">
        <v>5.0999999999999996</v>
      </c>
      <c r="GP54" s="1082">
        <v>0</v>
      </c>
      <c r="GQ54" s="1083">
        <v>5.0999999999999996</v>
      </c>
      <c r="GR54" s="517"/>
      <c r="GS54" s="567"/>
      <c r="GT54" s="840"/>
      <c r="GU54" s="1097" t="s">
        <v>486</v>
      </c>
      <c r="GV54" s="1097"/>
      <c r="GW54" s="1097"/>
      <c r="GX54" s="1097"/>
      <c r="GY54" s="758"/>
      <c r="GZ54" s="1098"/>
      <c r="HA54" s="1099">
        <v>0.1</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4.7</v>
      </c>
      <c r="GP55" s="1082">
        <v>0</v>
      </c>
      <c r="GQ55" s="1083">
        <v>4.7</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587</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4.3</v>
      </c>
      <c r="GP56" s="1082">
        <v>0</v>
      </c>
      <c r="GQ56" s="1083">
        <v>4.3</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4</v>
      </c>
      <c r="GP57" s="1082">
        <v>0</v>
      </c>
      <c r="GQ57" s="1083">
        <v>4</v>
      </c>
      <c r="GR57" s="932"/>
      <c r="GS57" s="516"/>
      <c r="GT57" s="1243"/>
      <c r="GU57" s="565"/>
      <c r="GV57" s="565"/>
      <c r="GW57" s="487"/>
      <c r="GX57" s="1246"/>
      <c r="GY57" s="566"/>
      <c r="GZ57" s="487"/>
      <c r="HA57" s="565"/>
      <c r="HB57" s="487"/>
      <c r="HC57" s="1031"/>
    </row>
    <row r="58" spans="1:212" ht="20.100000000000001" customHeight="1">
      <c r="A58" s="1141" t="s">
        <v>771</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60</v>
      </c>
      <c r="Y58" s="1147"/>
      <c r="Z58" s="1146">
        <v>60</v>
      </c>
      <c r="AA58" s="1147"/>
      <c r="AB58" s="1146">
        <v>60</v>
      </c>
      <c r="AC58" s="1147"/>
      <c r="AD58" s="1146">
        <v>60</v>
      </c>
      <c r="AE58" s="1147"/>
      <c r="AF58" s="1146">
        <v>60</v>
      </c>
      <c r="AG58" s="1147"/>
      <c r="AH58" s="1146">
        <v>60</v>
      </c>
      <c r="AI58" s="1147"/>
      <c r="AJ58" s="1146">
        <v>60</v>
      </c>
      <c r="AK58" s="1147"/>
      <c r="AL58" s="1146">
        <v>60</v>
      </c>
      <c r="AM58" s="1147"/>
      <c r="AN58" s="1146">
        <v>60</v>
      </c>
      <c r="AO58" s="1147"/>
      <c r="AP58" s="1146">
        <v>60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60</v>
      </c>
      <c r="CB58" s="1147"/>
      <c r="CC58" s="1146">
        <v>60</v>
      </c>
      <c r="CD58" s="1147"/>
      <c r="CE58" s="1146">
        <v>60</v>
      </c>
      <c r="CF58" s="1147"/>
      <c r="CG58" s="1146">
        <v>60</v>
      </c>
      <c r="CH58" s="1147"/>
      <c r="CI58" s="1146">
        <v>60</v>
      </c>
      <c r="CJ58" s="1147"/>
      <c r="CK58" s="1146">
        <v>60</v>
      </c>
      <c r="CL58" s="1147"/>
      <c r="CM58" s="1146">
        <v>60</v>
      </c>
      <c r="CN58" s="1147"/>
      <c r="CO58" s="1146">
        <v>60</v>
      </c>
      <c r="CP58" s="1147"/>
      <c r="CQ58" s="1146">
        <v>60</v>
      </c>
      <c r="CR58" s="1147"/>
      <c r="CS58" s="1146">
        <v>60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60</v>
      </c>
      <c r="EE58" s="1147"/>
      <c r="EF58" s="1146">
        <v>60</v>
      </c>
      <c r="EG58" s="1147"/>
      <c r="EH58" s="1146">
        <v>60</v>
      </c>
      <c r="EI58" s="1147"/>
      <c r="EJ58" s="1146">
        <v>60</v>
      </c>
      <c r="EK58" s="1147"/>
      <c r="EL58" s="1146">
        <v>60</v>
      </c>
      <c r="EM58" s="1147"/>
      <c r="EN58" s="1146">
        <v>60</v>
      </c>
      <c r="EO58" s="1147"/>
      <c r="EP58" s="1146">
        <v>60</v>
      </c>
      <c r="EQ58" s="1147"/>
      <c r="ER58" s="1146">
        <v>60</v>
      </c>
      <c r="ES58" s="1147"/>
      <c r="ET58" s="1146">
        <v>60</v>
      </c>
      <c r="EU58" s="1147"/>
      <c r="EV58" s="1146">
        <v>60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60</v>
      </c>
      <c r="FS58" s="1150"/>
      <c r="FT58" s="1149"/>
      <c r="FU58" s="1151">
        <v>60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3.7</v>
      </c>
      <c r="GP58" s="1082">
        <v>0</v>
      </c>
      <c r="GQ58" s="1083">
        <v>3.7</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t="s">
        <v>773</v>
      </c>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24.2</v>
      </c>
      <c r="X59" s="574">
        <v>484</v>
      </c>
      <c r="Y59" s="1163">
        <v>25.1</v>
      </c>
      <c r="Z59" s="574">
        <v>502</v>
      </c>
      <c r="AA59" s="1163">
        <v>25.4</v>
      </c>
      <c r="AB59" s="574">
        <v>508</v>
      </c>
      <c r="AC59" s="1163">
        <v>26.7</v>
      </c>
      <c r="AD59" s="574">
        <v>534</v>
      </c>
      <c r="AE59" s="1163">
        <v>26.3</v>
      </c>
      <c r="AF59" s="574">
        <v>526</v>
      </c>
      <c r="AG59" s="1163">
        <v>25.6</v>
      </c>
      <c r="AH59" s="574">
        <v>512</v>
      </c>
      <c r="AI59" s="1163">
        <v>25.6</v>
      </c>
      <c r="AJ59" s="574">
        <v>512</v>
      </c>
      <c r="AK59" s="1163">
        <v>25.3</v>
      </c>
      <c r="AL59" s="574">
        <v>506</v>
      </c>
      <c r="AM59" s="1163">
        <v>24.6</v>
      </c>
      <c r="AN59" s="574">
        <v>492</v>
      </c>
      <c r="AO59" s="1163">
        <v>23.9</v>
      </c>
      <c r="AP59" s="574">
        <v>478</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t="s">
        <v>773</v>
      </c>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19.100000000000001</v>
      </c>
      <c r="CA59" s="574">
        <v>382</v>
      </c>
      <c r="CB59" s="1163">
        <v>19.899999999999999</v>
      </c>
      <c r="CC59" s="574">
        <v>398</v>
      </c>
      <c r="CD59" s="1163">
        <v>20.8</v>
      </c>
      <c r="CE59" s="574">
        <v>416</v>
      </c>
      <c r="CF59" s="1163">
        <v>21.5</v>
      </c>
      <c r="CG59" s="574">
        <v>430</v>
      </c>
      <c r="CH59" s="1163">
        <v>21.9</v>
      </c>
      <c r="CI59" s="574">
        <v>438</v>
      </c>
      <c r="CJ59" s="1163">
        <v>21.2</v>
      </c>
      <c r="CK59" s="574">
        <v>424</v>
      </c>
      <c r="CL59" s="1163">
        <v>21</v>
      </c>
      <c r="CM59" s="574">
        <v>420</v>
      </c>
      <c r="CN59" s="1163">
        <v>20.8</v>
      </c>
      <c r="CO59" s="574">
        <v>416</v>
      </c>
      <c r="CP59" s="1163">
        <v>20.8</v>
      </c>
      <c r="CQ59" s="574">
        <v>416</v>
      </c>
      <c r="CR59" s="1163">
        <v>20.100000000000001</v>
      </c>
      <c r="CS59" s="574">
        <v>402</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t="s">
        <v>773</v>
      </c>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10.3</v>
      </c>
      <c r="ED59" s="574">
        <v>206</v>
      </c>
      <c r="EE59" s="1163">
        <v>11.4</v>
      </c>
      <c r="EF59" s="574">
        <v>228</v>
      </c>
      <c r="EG59" s="1163">
        <v>11.5</v>
      </c>
      <c r="EH59" s="574">
        <v>230</v>
      </c>
      <c r="EI59" s="1163">
        <v>11.9</v>
      </c>
      <c r="EJ59" s="574">
        <v>238</v>
      </c>
      <c r="EK59" s="1163">
        <v>11.6</v>
      </c>
      <c r="EL59" s="574">
        <v>232</v>
      </c>
      <c r="EM59" s="1163">
        <v>11.1</v>
      </c>
      <c r="EN59" s="574">
        <v>222</v>
      </c>
      <c r="EO59" s="1163">
        <v>10.9</v>
      </c>
      <c r="EP59" s="574">
        <v>218</v>
      </c>
      <c r="EQ59" s="1163">
        <v>11</v>
      </c>
      <c r="ER59" s="574">
        <v>220</v>
      </c>
      <c r="ES59" s="1163">
        <v>10.5</v>
      </c>
      <c r="ET59" s="574">
        <v>210</v>
      </c>
      <c r="EU59" s="1163">
        <v>11</v>
      </c>
      <c r="EV59" s="574">
        <v>220</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t="s">
        <v>773</v>
      </c>
      <c r="FN59" s="1161"/>
      <c r="FO59" s="1000"/>
      <c r="FP59" s="612">
        <v>9</v>
      </c>
      <c r="FQ59" s="1164">
        <v>28.7</v>
      </c>
      <c r="FR59" s="1165">
        <v>574</v>
      </c>
      <c r="FS59" s="1166">
        <v>9</v>
      </c>
      <c r="FT59" s="1164">
        <v>25</v>
      </c>
      <c r="FU59" s="1167">
        <v>500</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3.4</v>
      </c>
      <c r="GP59" s="1082">
        <v>0</v>
      </c>
      <c r="GQ59" s="1083">
        <v>3.4</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3.1</v>
      </c>
      <c r="GP60" s="1082">
        <v>0</v>
      </c>
      <c r="GQ60" s="1083">
        <v>3.1</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1525</v>
      </c>
      <c r="Y61" s="1184"/>
      <c r="Z61" s="1185">
        <v>1560</v>
      </c>
      <c r="AA61" s="1184"/>
      <c r="AB61" s="1185">
        <v>1614</v>
      </c>
      <c r="AC61" s="1184"/>
      <c r="AD61" s="1185">
        <v>1638</v>
      </c>
      <c r="AE61" s="1184"/>
      <c r="AF61" s="1185">
        <v>1575</v>
      </c>
      <c r="AG61" s="1184"/>
      <c r="AH61" s="1185">
        <v>1455</v>
      </c>
      <c r="AI61" s="1184"/>
      <c r="AJ61" s="1185">
        <v>1433</v>
      </c>
      <c r="AK61" s="1184"/>
      <c r="AL61" s="1185">
        <v>1389</v>
      </c>
      <c r="AM61" s="1184"/>
      <c r="AN61" s="1185">
        <v>1317</v>
      </c>
      <c r="AO61" s="1184"/>
      <c r="AP61" s="1185">
        <v>1241</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1436</v>
      </c>
      <c r="CB61" s="1184"/>
      <c r="CC61" s="1185">
        <v>1487</v>
      </c>
      <c r="CD61" s="1184"/>
      <c r="CE61" s="1185">
        <v>1558</v>
      </c>
      <c r="CF61" s="1184"/>
      <c r="CG61" s="1185">
        <v>1560</v>
      </c>
      <c r="CH61" s="1184"/>
      <c r="CI61" s="1185">
        <v>1489</v>
      </c>
      <c r="CJ61" s="1184"/>
      <c r="CK61" s="1185">
        <v>1321</v>
      </c>
      <c r="CL61" s="1184"/>
      <c r="CM61" s="1185">
        <v>1308</v>
      </c>
      <c r="CN61" s="1184"/>
      <c r="CO61" s="1185">
        <v>1276</v>
      </c>
      <c r="CP61" s="1184"/>
      <c r="CQ61" s="1185">
        <v>1240</v>
      </c>
      <c r="CR61" s="1184"/>
      <c r="CS61" s="1185">
        <v>1171</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1500</v>
      </c>
      <c r="EE61" s="1184"/>
      <c r="EF61" s="1185">
        <v>1591</v>
      </c>
      <c r="EG61" s="1184"/>
      <c r="EH61" s="1185">
        <v>1663</v>
      </c>
      <c r="EI61" s="1184"/>
      <c r="EJ61" s="1185">
        <v>1652</v>
      </c>
      <c r="EK61" s="1184"/>
      <c r="EL61" s="1185">
        <v>1540</v>
      </c>
      <c r="EM61" s="1184"/>
      <c r="EN61" s="1185">
        <v>1367</v>
      </c>
      <c r="EO61" s="1184"/>
      <c r="EP61" s="1185">
        <v>1176</v>
      </c>
      <c r="EQ61" s="1184"/>
      <c r="ER61" s="1185">
        <v>1053</v>
      </c>
      <c r="ES61" s="1184"/>
      <c r="ET61" s="1185">
        <v>985</v>
      </c>
      <c r="EU61" s="1184"/>
      <c r="EV61" s="1185">
        <v>941</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868</v>
      </c>
      <c r="FS61" s="1190"/>
      <c r="FT61" s="1188"/>
      <c r="FU61" s="1191">
        <v>803</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2.8</v>
      </c>
      <c r="GP61" s="1082">
        <v>0</v>
      </c>
      <c r="GQ61" s="1083">
        <v>2.8</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587</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t="s">
        <v>777</v>
      </c>
      <c r="FN66" s="1221"/>
      <c r="FO66" s="1181"/>
      <c r="FP66" s="1187">
        <v>9</v>
      </c>
      <c r="FQ66" s="1222">
        <v>4.0999999999999996</v>
      </c>
      <c r="FR66" s="1223">
        <v>0.3</v>
      </c>
      <c r="FS66" s="1190">
        <v>9</v>
      </c>
      <c r="FT66" s="1222">
        <v>2.4</v>
      </c>
      <c r="FU66" s="1224">
        <v>0.2</v>
      </c>
      <c r="FV66" s="1225"/>
      <c r="FW66" s="1226"/>
      <c r="FX66" s="1226"/>
      <c r="FY66" s="1226"/>
      <c r="FZ66" s="1226"/>
      <c r="GA66" s="1226"/>
      <c r="GB66" s="1226"/>
      <c r="GC66" s="1227"/>
      <c r="GD66" s="1190"/>
      <c r="GE66" s="1228">
        <v>0.3</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t="s">
        <v>327</v>
      </c>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t="str">
        <f>$G68</f>
        <v>(C)室内全熱負荷以降の外気負荷等は、熱源容量計算用の基準別、時刻別の値です。外気負荷を含めた空調機の容量の計算等は別紙「ACU-2系統 空調機容量の計算」をご参照ください。</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t="str">
        <f>$G68</f>
        <v>(C)室内全熱負荷以降の外気負荷等は、熱源容量計算用の基準別、時刻別の値です。外気負荷を含めた空調機の容量の計算等は別紙「ACU-2系統 空調機容量の計算」をご参照ください。</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613</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618</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247</v>
      </c>
      <c r="B3" s="385">
        <v>206</v>
      </c>
      <c r="C3" s="386" t="s">
        <v>336</v>
      </c>
      <c r="D3" s="387" t="s">
        <v>615</v>
      </c>
      <c r="E3" s="387"/>
      <c r="F3" s="387"/>
      <c r="G3" s="387"/>
      <c r="H3" s="387"/>
      <c r="I3" s="387"/>
      <c r="J3" s="388"/>
      <c r="K3" s="389" t="s">
        <v>616</v>
      </c>
      <c r="L3" s="390"/>
      <c r="M3" s="389" t="s">
        <v>617</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206</v>
      </c>
      <c r="BF3" s="386" t="s">
        <v>335</v>
      </c>
      <c r="BG3" s="398" t="s">
        <v>612</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206</v>
      </c>
      <c r="DI3" s="386" t="s">
        <v>335</v>
      </c>
      <c r="DJ3" s="398" t="s">
        <v>612</v>
      </c>
      <c r="DK3" s="398"/>
      <c r="DL3" s="398"/>
      <c r="DM3" s="398"/>
      <c r="DN3" s="398"/>
      <c r="DO3" s="398"/>
      <c r="DP3" s="399"/>
      <c r="DQ3" s="389" t="s">
        <v>338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206</v>
      </c>
      <c r="FL3" s="386" t="s">
        <v>335</v>
      </c>
      <c r="FM3" s="398" t="s">
        <v>612</v>
      </c>
      <c r="FN3" s="398"/>
      <c r="FO3" s="398"/>
      <c r="FP3" s="398"/>
      <c r="FQ3" s="398"/>
      <c r="FR3" s="398"/>
      <c r="FS3" s="399"/>
      <c r="FT3" s="389" t="s">
        <v>338</v>
      </c>
      <c r="FU3" s="390"/>
      <c r="FV3" s="389" t="s">
        <v>339</v>
      </c>
      <c r="FW3" s="390"/>
      <c r="FX3" s="391" t="s">
        <v>815</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249</v>
      </c>
      <c r="B5" s="430">
        <v>2</v>
      </c>
      <c r="C5" s="431" t="s">
        <v>349</v>
      </c>
      <c r="D5" s="432">
        <v>30</v>
      </c>
      <c r="E5" s="433" t="s">
        <v>350</v>
      </c>
      <c r="F5" s="434">
        <v>2.7</v>
      </c>
      <c r="G5" s="435" t="s">
        <v>351</v>
      </c>
      <c r="H5" s="436"/>
      <c r="I5" s="437">
        <v>81</v>
      </c>
      <c r="J5" s="438"/>
      <c r="K5" s="439">
        <v>0</v>
      </c>
      <c r="L5" s="440"/>
      <c r="M5" s="439">
        <v>0</v>
      </c>
      <c r="N5" s="440"/>
      <c r="O5" s="1470" t="s">
        <v>807</v>
      </c>
      <c r="P5" s="441"/>
      <c r="Q5" s="1471" t="s">
        <v>808</v>
      </c>
      <c r="R5" s="442"/>
      <c r="S5" s="1472" t="s">
        <v>809</v>
      </c>
      <c r="T5" s="443"/>
      <c r="U5" s="1473" t="s">
        <v>788</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30</v>
      </c>
      <c r="BH5" s="433" t="s">
        <v>350</v>
      </c>
      <c r="BI5" s="434">
        <v>2.7</v>
      </c>
      <c r="BJ5" s="435" t="s">
        <v>351</v>
      </c>
      <c r="BK5" s="436"/>
      <c r="BL5" s="437">
        <v>81</v>
      </c>
      <c r="BM5" s="438"/>
      <c r="BN5" s="439">
        <v>0</v>
      </c>
      <c r="BO5" s="440"/>
      <c r="BP5" s="439">
        <v>0</v>
      </c>
      <c r="BQ5" s="440"/>
      <c r="BR5" s="1470" t="s">
        <v>762</v>
      </c>
      <c r="BS5" s="441"/>
      <c r="BT5" s="1471" t="s">
        <v>810</v>
      </c>
      <c r="BU5" s="442"/>
      <c r="BV5" s="1472" t="s">
        <v>787</v>
      </c>
      <c r="BW5" s="443"/>
      <c r="BX5" s="1473" t="s">
        <v>788</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30</v>
      </c>
      <c r="DK5" s="433" t="s">
        <v>350</v>
      </c>
      <c r="DL5" s="434">
        <v>2.7</v>
      </c>
      <c r="DM5" s="435" t="s">
        <v>351</v>
      </c>
      <c r="DN5" s="436"/>
      <c r="DO5" s="437">
        <v>81</v>
      </c>
      <c r="DP5" s="438"/>
      <c r="DQ5" s="439">
        <v>0</v>
      </c>
      <c r="DR5" s="440"/>
      <c r="DS5" s="439">
        <v>0</v>
      </c>
      <c r="DT5" s="440"/>
      <c r="DU5" s="1470" t="s">
        <v>762</v>
      </c>
      <c r="DV5" s="441"/>
      <c r="DW5" s="1471" t="s">
        <v>786</v>
      </c>
      <c r="DX5" s="442"/>
      <c r="DY5" s="1472" t="s">
        <v>787</v>
      </c>
      <c r="DZ5" s="443"/>
      <c r="EA5" s="1473" t="s">
        <v>788</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30</v>
      </c>
      <c r="FN5" s="433" t="s">
        <v>350</v>
      </c>
      <c r="FO5" s="434">
        <v>2.7</v>
      </c>
      <c r="FP5" s="435" t="s">
        <v>351</v>
      </c>
      <c r="FQ5" s="436"/>
      <c r="FR5" s="437">
        <v>81</v>
      </c>
      <c r="FS5" s="438"/>
      <c r="FT5" s="439">
        <v>0</v>
      </c>
      <c r="FU5" s="440"/>
      <c r="FV5" s="439">
        <v>0</v>
      </c>
      <c r="FW5" s="440"/>
      <c r="FX5" s="1470" t="s">
        <v>811</v>
      </c>
      <c r="FY5" s="441"/>
      <c r="FZ5" s="1471" t="s">
        <v>812</v>
      </c>
      <c r="GA5" s="442"/>
      <c r="GB5" s="1472" t="s">
        <v>813</v>
      </c>
      <c r="GC5" s="443"/>
      <c r="GD5" s="1473" t="s">
        <v>814</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601</v>
      </c>
      <c r="E9" s="522" t="s">
        <v>602</v>
      </c>
      <c r="F9" s="523" t="s">
        <v>265</v>
      </c>
      <c r="G9" s="524" t="s">
        <v>603</v>
      </c>
      <c r="H9" s="525" t="s">
        <v>604</v>
      </c>
      <c r="I9" s="526" t="s">
        <v>268</v>
      </c>
      <c r="J9" s="525" t="s">
        <v>604</v>
      </c>
      <c r="K9" s="526" t="s">
        <v>268</v>
      </c>
      <c r="L9" s="525" t="s">
        <v>604</v>
      </c>
      <c r="M9" s="526" t="s">
        <v>268</v>
      </c>
      <c r="N9" s="525" t="s">
        <v>604</v>
      </c>
      <c r="O9" s="526" t="s">
        <v>268</v>
      </c>
      <c r="P9" s="525" t="s">
        <v>604</v>
      </c>
      <c r="Q9" s="526" t="s">
        <v>268</v>
      </c>
      <c r="R9" s="525" t="s">
        <v>604</v>
      </c>
      <c r="S9" s="526" t="s">
        <v>268</v>
      </c>
      <c r="T9" s="525" t="s">
        <v>604</v>
      </c>
      <c r="U9" s="526" t="s">
        <v>268</v>
      </c>
      <c r="V9" s="525" t="s">
        <v>604</v>
      </c>
      <c r="W9" s="526" t="s">
        <v>268</v>
      </c>
      <c r="X9" s="525" t="s">
        <v>604</v>
      </c>
      <c r="Y9" s="526" t="s">
        <v>268</v>
      </c>
      <c r="Z9" s="525" t="s">
        <v>604</v>
      </c>
      <c r="AA9" s="526" t="s">
        <v>268</v>
      </c>
      <c r="AB9" s="525" t="s">
        <v>604</v>
      </c>
      <c r="AC9" s="526" t="s">
        <v>268</v>
      </c>
      <c r="AD9" s="525" t="s">
        <v>604</v>
      </c>
      <c r="AE9" s="526" t="s">
        <v>268</v>
      </c>
      <c r="AF9" s="525" t="s">
        <v>604</v>
      </c>
      <c r="AG9" s="526" t="s">
        <v>268</v>
      </c>
      <c r="AH9" s="525" t="s">
        <v>604</v>
      </c>
      <c r="AI9" s="526" t="s">
        <v>268</v>
      </c>
      <c r="AJ9" s="525" t="s">
        <v>604</v>
      </c>
      <c r="AK9" s="526" t="s">
        <v>268</v>
      </c>
      <c r="AL9" s="525" t="s">
        <v>604</v>
      </c>
      <c r="AM9" s="526" t="s">
        <v>268</v>
      </c>
      <c r="AN9" s="525" t="s">
        <v>604</v>
      </c>
      <c r="AO9" s="526" t="s">
        <v>268</v>
      </c>
      <c r="AP9" s="525" t="s">
        <v>604</v>
      </c>
      <c r="AQ9" s="526" t="s">
        <v>268</v>
      </c>
      <c r="AR9" s="525" t="s">
        <v>604</v>
      </c>
      <c r="AS9" s="526" t="s">
        <v>268</v>
      </c>
      <c r="AT9" s="525" t="s">
        <v>604</v>
      </c>
      <c r="AU9" s="526" t="s">
        <v>268</v>
      </c>
      <c r="AV9" s="525" t="s">
        <v>604</v>
      </c>
      <c r="AW9" s="526" t="s">
        <v>268</v>
      </c>
      <c r="AX9" s="525" t="s">
        <v>604</v>
      </c>
      <c r="AY9" s="526" t="s">
        <v>268</v>
      </c>
      <c r="AZ9" s="525" t="s">
        <v>604</v>
      </c>
      <c r="BA9" s="526" t="s">
        <v>268</v>
      </c>
      <c r="BB9" s="527" t="s">
        <v>271</v>
      </c>
      <c r="BC9" s="490"/>
      <c r="BD9" s="519" t="s">
        <v>260</v>
      </c>
      <c r="BE9" s="520" t="s">
        <v>261</v>
      </c>
      <c r="BF9" s="521" t="s">
        <v>262</v>
      </c>
      <c r="BG9" s="521" t="s">
        <v>601</v>
      </c>
      <c r="BH9" s="522" t="s">
        <v>602</v>
      </c>
      <c r="BI9" s="523" t="s">
        <v>265</v>
      </c>
      <c r="BJ9" s="524" t="s">
        <v>603</v>
      </c>
      <c r="BK9" s="525" t="s">
        <v>604</v>
      </c>
      <c r="BL9" s="526" t="s">
        <v>268</v>
      </c>
      <c r="BM9" s="525" t="s">
        <v>604</v>
      </c>
      <c r="BN9" s="526" t="s">
        <v>268</v>
      </c>
      <c r="BO9" s="525" t="s">
        <v>604</v>
      </c>
      <c r="BP9" s="526" t="s">
        <v>268</v>
      </c>
      <c r="BQ9" s="525" t="s">
        <v>604</v>
      </c>
      <c r="BR9" s="526" t="s">
        <v>268</v>
      </c>
      <c r="BS9" s="525" t="s">
        <v>604</v>
      </c>
      <c r="BT9" s="526" t="s">
        <v>268</v>
      </c>
      <c r="BU9" s="525" t="s">
        <v>604</v>
      </c>
      <c r="BV9" s="526" t="s">
        <v>268</v>
      </c>
      <c r="BW9" s="525" t="s">
        <v>604</v>
      </c>
      <c r="BX9" s="526" t="s">
        <v>268</v>
      </c>
      <c r="BY9" s="525" t="s">
        <v>604</v>
      </c>
      <c r="BZ9" s="526" t="s">
        <v>268</v>
      </c>
      <c r="CA9" s="525" t="s">
        <v>604</v>
      </c>
      <c r="CB9" s="526" t="s">
        <v>268</v>
      </c>
      <c r="CC9" s="525" t="s">
        <v>604</v>
      </c>
      <c r="CD9" s="526" t="s">
        <v>268</v>
      </c>
      <c r="CE9" s="525" t="s">
        <v>604</v>
      </c>
      <c r="CF9" s="526" t="s">
        <v>268</v>
      </c>
      <c r="CG9" s="525" t="s">
        <v>604</v>
      </c>
      <c r="CH9" s="526" t="s">
        <v>268</v>
      </c>
      <c r="CI9" s="525" t="s">
        <v>604</v>
      </c>
      <c r="CJ9" s="526" t="s">
        <v>268</v>
      </c>
      <c r="CK9" s="525" t="s">
        <v>604</v>
      </c>
      <c r="CL9" s="526" t="s">
        <v>268</v>
      </c>
      <c r="CM9" s="525" t="s">
        <v>604</v>
      </c>
      <c r="CN9" s="526" t="s">
        <v>268</v>
      </c>
      <c r="CO9" s="525" t="s">
        <v>604</v>
      </c>
      <c r="CP9" s="526" t="s">
        <v>268</v>
      </c>
      <c r="CQ9" s="525" t="s">
        <v>604</v>
      </c>
      <c r="CR9" s="526" t="s">
        <v>268</v>
      </c>
      <c r="CS9" s="525" t="s">
        <v>604</v>
      </c>
      <c r="CT9" s="526" t="s">
        <v>268</v>
      </c>
      <c r="CU9" s="525" t="s">
        <v>604</v>
      </c>
      <c r="CV9" s="526" t="s">
        <v>268</v>
      </c>
      <c r="CW9" s="525" t="s">
        <v>604</v>
      </c>
      <c r="CX9" s="526" t="s">
        <v>268</v>
      </c>
      <c r="CY9" s="525" t="s">
        <v>604</v>
      </c>
      <c r="CZ9" s="526" t="s">
        <v>268</v>
      </c>
      <c r="DA9" s="525" t="s">
        <v>604</v>
      </c>
      <c r="DB9" s="526" t="s">
        <v>268</v>
      </c>
      <c r="DC9" s="525" t="s">
        <v>604</v>
      </c>
      <c r="DD9" s="526" t="s">
        <v>268</v>
      </c>
      <c r="DE9" s="527" t="s">
        <v>271</v>
      </c>
      <c r="DF9" s="490"/>
      <c r="DG9" s="519" t="s">
        <v>260</v>
      </c>
      <c r="DH9" s="520" t="s">
        <v>261</v>
      </c>
      <c r="DI9" s="521" t="s">
        <v>262</v>
      </c>
      <c r="DJ9" s="521" t="s">
        <v>601</v>
      </c>
      <c r="DK9" s="522" t="s">
        <v>602</v>
      </c>
      <c r="DL9" s="523" t="s">
        <v>265</v>
      </c>
      <c r="DM9" s="524" t="s">
        <v>603</v>
      </c>
      <c r="DN9" s="525" t="s">
        <v>604</v>
      </c>
      <c r="DO9" s="526" t="s">
        <v>268</v>
      </c>
      <c r="DP9" s="525" t="s">
        <v>604</v>
      </c>
      <c r="DQ9" s="526" t="s">
        <v>268</v>
      </c>
      <c r="DR9" s="525" t="s">
        <v>604</v>
      </c>
      <c r="DS9" s="526" t="s">
        <v>268</v>
      </c>
      <c r="DT9" s="525" t="s">
        <v>604</v>
      </c>
      <c r="DU9" s="526" t="s">
        <v>268</v>
      </c>
      <c r="DV9" s="525" t="s">
        <v>604</v>
      </c>
      <c r="DW9" s="526" t="s">
        <v>268</v>
      </c>
      <c r="DX9" s="525" t="s">
        <v>604</v>
      </c>
      <c r="DY9" s="526" t="s">
        <v>268</v>
      </c>
      <c r="DZ9" s="525" t="s">
        <v>604</v>
      </c>
      <c r="EA9" s="526" t="s">
        <v>268</v>
      </c>
      <c r="EB9" s="525" t="s">
        <v>604</v>
      </c>
      <c r="EC9" s="526" t="s">
        <v>268</v>
      </c>
      <c r="ED9" s="525" t="s">
        <v>604</v>
      </c>
      <c r="EE9" s="526" t="s">
        <v>268</v>
      </c>
      <c r="EF9" s="525" t="s">
        <v>604</v>
      </c>
      <c r="EG9" s="526" t="s">
        <v>268</v>
      </c>
      <c r="EH9" s="525" t="s">
        <v>604</v>
      </c>
      <c r="EI9" s="526" t="s">
        <v>268</v>
      </c>
      <c r="EJ9" s="525" t="s">
        <v>604</v>
      </c>
      <c r="EK9" s="526" t="s">
        <v>268</v>
      </c>
      <c r="EL9" s="525" t="s">
        <v>604</v>
      </c>
      <c r="EM9" s="526" t="s">
        <v>268</v>
      </c>
      <c r="EN9" s="525" t="s">
        <v>604</v>
      </c>
      <c r="EO9" s="526" t="s">
        <v>268</v>
      </c>
      <c r="EP9" s="525" t="s">
        <v>604</v>
      </c>
      <c r="EQ9" s="526" t="s">
        <v>268</v>
      </c>
      <c r="ER9" s="525" t="s">
        <v>604</v>
      </c>
      <c r="ES9" s="526" t="s">
        <v>268</v>
      </c>
      <c r="ET9" s="525" t="s">
        <v>604</v>
      </c>
      <c r="EU9" s="526" t="s">
        <v>268</v>
      </c>
      <c r="EV9" s="525" t="s">
        <v>604</v>
      </c>
      <c r="EW9" s="526" t="s">
        <v>268</v>
      </c>
      <c r="EX9" s="525" t="s">
        <v>604</v>
      </c>
      <c r="EY9" s="526" t="s">
        <v>268</v>
      </c>
      <c r="EZ9" s="525" t="s">
        <v>604</v>
      </c>
      <c r="FA9" s="526" t="s">
        <v>268</v>
      </c>
      <c r="FB9" s="525" t="s">
        <v>604</v>
      </c>
      <c r="FC9" s="526" t="s">
        <v>268</v>
      </c>
      <c r="FD9" s="525" t="s">
        <v>604</v>
      </c>
      <c r="FE9" s="526" t="s">
        <v>268</v>
      </c>
      <c r="FF9" s="525" t="s">
        <v>604</v>
      </c>
      <c r="FG9" s="526" t="s">
        <v>268</v>
      </c>
      <c r="FH9" s="527" t="s">
        <v>271</v>
      </c>
      <c r="FI9" s="528"/>
      <c r="FJ9" s="529" t="s">
        <v>260</v>
      </c>
      <c r="FK9" s="520" t="s">
        <v>261</v>
      </c>
      <c r="FL9" s="521" t="s">
        <v>262</v>
      </c>
      <c r="FM9" s="521" t="s">
        <v>601</v>
      </c>
      <c r="FN9" s="522" t="s">
        <v>602</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77</v>
      </c>
      <c r="D10" s="542">
        <f>ROUND(5.6*0.85,2)</f>
        <v>4.76</v>
      </c>
      <c r="E10" s="540" t="s">
        <v>326</v>
      </c>
      <c r="F10" s="541" t="s">
        <v>197</v>
      </c>
      <c r="G10" s="543">
        <v>0</v>
      </c>
      <c r="H10" s="544">
        <f>ROUND(ROUND(5.6*0.85,2)*0.34*0,0)</f>
        <v>0</v>
      </c>
      <c r="I10" s="545">
        <v>0</v>
      </c>
      <c r="J10" s="546">
        <f>ROUND(ROUND(5.6*0.85,2)*0.34*0,0)</f>
        <v>0</v>
      </c>
      <c r="K10" s="547">
        <v>0</v>
      </c>
      <c r="L10" s="546">
        <f>ROUND(ROUND(5.6*0.85,2)*0.34*0,0)</f>
        <v>0</v>
      </c>
      <c r="M10" s="547">
        <v>0</v>
      </c>
      <c r="N10" s="546">
        <f>ROUND(ROUND(5.6*0.85,2)*0.34*0,0)</f>
        <v>0</v>
      </c>
      <c r="O10" s="547">
        <v>0</v>
      </c>
      <c r="P10" s="546">
        <f>ROUND(ROUND(5.6*0.85,2)*0.34*0,0)</f>
        <v>0</v>
      </c>
      <c r="Q10" s="547">
        <v>0</v>
      </c>
      <c r="R10" s="546">
        <f>ROUND(ROUND(5.6*0.85,2)*0.34*0,0)</f>
        <v>0</v>
      </c>
      <c r="S10" s="547">
        <v>0</v>
      </c>
      <c r="T10" s="546">
        <f>ROUND(ROUND(5.6*0.85,2)*0.34*0,0)</f>
        <v>0</v>
      </c>
      <c r="U10" s="547">
        <v>0</v>
      </c>
      <c r="V10" s="546">
        <f>ROUND(ROUND(5.6*0.85,2)*0.34*0,0)</f>
        <v>0</v>
      </c>
      <c r="W10" s="547">
        <v>130</v>
      </c>
      <c r="X10" s="546">
        <f>ROUND(ROUND(5.6*0.85,2)*0.34*130,0)</f>
        <v>210</v>
      </c>
      <c r="Y10" s="547">
        <v>170</v>
      </c>
      <c r="Z10" s="546">
        <f>ROUND(ROUND(5.6*0.85,2)*0.34*170,0)</f>
        <v>275</v>
      </c>
      <c r="AA10" s="547">
        <v>193</v>
      </c>
      <c r="AB10" s="546">
        <f>ROUND(ROUND(5.6*0.85,2)*0.34*193,0)</f>
        <v>312</v>
      </c>
      <c r="AC10" s="547">
        <v>188</v>
      </c>
      <c r="AD10" s="546">
        <f>ROUND(ROUND(5.6*0.85,2)*0.34*188,0)</f>
        <v>304</v>
      </c>
      <c r="AE10" s="547">
        <v>153</v>
      </c>
      <c r="AF10" s="546">
        <f>ROUND(ROUND(5.6*0.85,2)*0.34*153,0)</f>
        <v>248</v>
      </c>
      <c r="AG10" s="547">
        <v>90</v>
      </c>
      <c r="AH10" s="546">
        <f>ROUND(ROUND(5.6*0.85,2)*0.34*90,0)</f>
        <v>146</v>
      </c>
      <c r="AI10" s="547">
        <v>80</v>
      </c>
      <c r="AJ10" s="546">
        <f>ROUND(ROUND(5.6*0.85,2)*0.34*80,0)</f>
        <v>129</v>
      </c>
      <c r="AK10" s="547">
        <v>63</v>
      </c>
      <c r="AL10" s="546">
        <f>ROUND(ROUND(5.6*0.85,2)*0.34*63,0)</f>
        <v>102</v>
      </c>
      <c r="AM10" s="547">
        <v>39</v>
      </c>
      <c r="AN10" s="546">
        <f>ROUND(ROUND(5.6*0.85,2)*0.34*39,0)</f>
        <v>63</v>
      </c>
      <c r="AO10" s="547">
        <v>12</v>
      </c>
      <c r="AP10" s="546">
        <f>ROUND(ROUND(5.6*0.85,2)*0.34*12,0)</f>
        <v>19</v>
      </c>
      <c r="AQ10" s="547">
        <v>0</v>
      </c>
      <c r="AR10" s="546">
        <f>ROUND(ROUND(5.6*0.85,2)*0.34*0,0)</f>
        <v>0</v>
      </c>
      <c r="AS10" s="547">
        <v>0</v>
      </c>
      <c r="AT10" s="546">
        <f>ROUND(ROUND(5.6*0.85,2)*0.34*0,0)</f>
        <v>0</v>
      </c>
      <c r="AU10" s="547">
        <v>0</v>
      </c>
      <c r="AV10" s="546">
        <f>ROUND(ROUND(5.6*0.85,2)*0.34*0,0)</f>
        <v>0</v>
      </c>
      <c r="AW10" s="547">
        <v>0</v>
      </c>
      <c r="AX10" s="546">
        <f>ROUND(ROUND(5.6*0.85,2)*0.34*0,0)</f>
        <v>0</v>
      </c>
      <c r="AY10" s="547">
        <v>0</v>
      </c>
      <c r="AZ10" s="546">
        <f>ROUND(ROUND(5.6*0.85,2)*0.34*0,0)</f>
        <v>0</v>
      </c>
      <c r="BA10" s="547">
        <v>0</v>
      </c>
      <c r="BB10" s="548">
        <f>ROUND(ROUND(5.6*0.85,2)*0.34*0,0)</f>
        <v>0</v>
      </c>
      <c r="BC10" s="549"/>
      <c r="BD10" s="539"/>
      <c r="BE10" s="540"/>
      <c r="BF10" s="541"/>
      <c r="BG10" s="542"/>
      <c r="BH10" s="540"/>
      <c r="BI10" s="541"/>
      <c r="BJ10" s="543">
        <v>0</v>
      </c>
      <c r="BK10" s="544">
        <f>ROUND(ROUND(5.6*0.85,2)*0.34*0,0)</f>
        <v>0</v>
      </c>
      <c r="BL10" s="545">
        <v>0</v>
      </c>
      <c r="BM10" s="546">
        <f>ROUND(ROUND(5.6*0.85,2)*0.34*0,0)</f>
        <v>0</v>
      </c>
      <c r="BN10" s="547">
        <v>0</v>
      </c>
      <c r="BO10" s="546">
        <f>ROUND(ROUND(5.6*0.85,2)*0.34*0,0)</f>
        <v>0</v>
      </c>
      <c r="BP10" s="547">
        <v>0</v>
      </c>
      <c r="BQ10" s="546">
        <f>ROUND(ROUND(5.6*0.85,2)*0.34*0,0)</f>
        <v>0</v>
      </c>
      <c r="BR10" s="547">
        <v>0</v>
      </c>
      <c r="BS10" s="546">
        <f>ROUND(ROUND(5.6*0.85,2)*0.34*0,0)</f>
        <v>0</v>
      </c>
      <c r="BT10" s="547">
        <v>0</v>
      </c>
      <c r="BU10" s="546">
        <f>ROUND(ROUND(5.6*0.85,2)*0.34*0,0)</f>
        <v>0</v>
      </c>
      <c r="BV10" s="547">
        <v>0</v>
      </c>
      <c r="BW10" s="546">
        <f>ROUND(ROUND(5.6*0.85,2)*0.34*0,0)</f>
        <v>0</v>
      </c>
      <c r="BX10" s="547">
        <v>0</v>
      </c>
      <c r="BY10" s="546">
        <f>ROUND(ROUND(5.6*0.85,2)*0.34*0,0)</f>
        <v>0</v>
      </c>
      <c r="BZ10" s="547">
        <v>141</v>
      </c>
      <c r="CA10" s="546">
        <f>ROUND(ROUND(5.6*0.85,2)*0.34*141,0)</f>
        <v>228</v>
      </c>
      <c r="CB10" s="547">
        <v>192</v>
      </c>
      <c r="CC10" s="546">
        <f>ROUND(ROUND(5.6*0.85,2)*0.34*192,0)</f>
        <v>311</v>
      </c>
      <c r="CD10" s="547">
        <v>216</v>
      </c>
      <c r="CE10" s="546">
        <f>ROUND(ROUND(5.6*0.85,2)*0.34*216,0)</f>
        <v>350</v>
      </c>
      <c r="CF10" s="547">
        <v>204</v>
      </c>
      <c r="CG10" s="546">
        <f>ROUND(ROUND(5.6*0.85,2)*0.34*204,0)</f>
        <v>330</v>
      </c>
      <c r="CH10" s="547">
        <v>155</v>
      </c>
      <c r="CI10" s="546">
        <f>ROUND(ROUND(5.6*0.85,2)*0.34*155,0)</f>
        <v>251</v>
      </c>
      <c r="CJ10" s="547">
        <v>65</v>
      </c>
      <c r="CK10" s="546">
        <f>ROUND(ROUND(5.6*0.85,2)*0.34*65,0)</f>
        <v>105</v>
      </c>
      <c r="CL10" s="547">
        <v>63</v>
      </c>
      <c r="CM10" s="546">
        <f>ROUND(ROUND(5.6*0.85,2)*0.34*63,0)</f>
        <v>102</v>
      </c>
      <c r="CN10" s="547">
        <v>51</v>
      </c>
      <c r="CO10" s="546">
        <f>ROUND(ROUND(5.6*0.85,2)*0.34*51,0)</f>
        <v>83</v>
      </c>
      <c r="CP10" s="547">
        <v>37</v>
      </c>
      <c r="CQ10" s="546">
        <f>ROUND(ROUND(5.6*0.85,2)*0.34*37,0)</f>
        <v>60</v>
      </c>
      <c r="CR10" s="547">
        <v>17</v>
      </c>
      <c r="CS10" s="546">
        <f>ROUND(ROUND(5.6*0.85,2)*0.34*17,0)</f>
        <v>28</v>
      </c>
      <c r="CT10" s="547">
        <v>0</v>
      </c>
      <c r="CU10" s="546">
        <f>ROUND(ROUND(5.6*0.85,2)*0.34*0,0)</f>
        <v>0</v>
      </c>
      <c r="CV10" s="547">
        <v>0</v>
      </c>
      <c r="CW10" s="546">
        <f>ROUND(ROUND(5.6*0.85,2)*0.34*0,0)</f>
        <v>0</v>
      </c>
      <c r="CX10" s="547">
        <v>0</v>
      </c>
      <c r="CY10" s="546">
        <f>ROUND(ROUND(5.6*0.85,2)*0.34*0,0)</f>
        <v>0</v>
      </c>
      <c r="CZ10" s="547">
        <v>0</v>
      </c>
      <c r="DA10" s="546">
        <f>ROUND(ROUND(5.6*0.85,2)*0.34*0,0)</f>
        <v>0</v>
      </c>
      <c r="DB10" s="547">
        <v>0</v>
      </c>
      <c r="DC10" s="546">
        <f>ROUND(ROUND(5.6*0.85,2)*0.34*0,0)</f>
        <v>0</v>
      </c>
      <c r="DD10" s="547">
        <v>0</v>
      </c>
      <c r="DE10" s="548">
        <f>ROUND(ROUND(5.6*0.85,2)*0.34*0,0)</f>
        <v>0</v>
      </c>
      <c r="DF10" s="549"/>
      <c r="DG10" s="539"/>
      <c r="DH10" s="540"/>
      <c r="DI10" s="541"/>
      <c r="DJ10" s="542"/>
      <c r="DK10" s="540"/>
      <c r="DL10" s="541"/>
      <c r="DM10" s="543">
        <v>0</v>
      </c>
      <c r="DN10" s="544">
        <f>ROUND(ROUND(5.6*0.85,2)*0.34*0,0)</f>
        <v>0</v>
      </c>
      <c r="DO10" s="545">
        <v>0</v>
      </c>
      <c r="DP10" s="546">
        <f>ROUND(ROUND(5.6*0.85,2)*0.34*0,0)</f>
        <v>0</v>
      </c>
      <c r="DQ10" s="547">
        <v>0</v>
      </c>
      <c r="DR10" s="546">
        <f>ROUND(ROUND(5.6*0.85,2)*0.34*0,0)</f>
        <v>0</v>
      </c>
      <c r="DS10" s="547">
        <v>0</v>
      </c>
      <c r="DT10" s="546">
        <f>ROUND(ROUND(5.6*0.85,2)*0.34*0,0)</f>
        <v>0</v>
      </c>
      <c r="DU10" s="547">
        <v>0</v>
      </c>
      <c r="DV10" s="546">
        <f>ROUND(ROUND(5.6*0.85,2)*0.34*0,0)</f>
        <v>0</v>
      </c>
      <c r="DW10" s="547">
        <v>0</v>
      </c>
      <c r="DX10" s="546">
        <f>ROUND(ROUND(5.6*0.85,2)*0.34*0,0)</f>
        <v>0</v>
      </c>
      <c r="DY10" s="547">
        <v>0</v>
      </c>
      <c r="DZ10" s="546">
        <f>ROUND(ROUND(5.6*0.85,2)*0.34*0,0)</f>
        <v>0</v>
      </c>
      <c r="EA10" s="547">
        <v>0</v>
      </c>
      <c r="EB10" s="546">
        <f>ROUND(ROUND(5.6*0.85,2)*0.34*0,0)</f>
        <v>0</v>
      </c>
      <c r="EC10" s="547">
        <v>302</v>
      </c>
      <c r="ED10" s="546">
        <f>ROUND(ROUND(5.6*0.85,2)*0.34*302,0)</f>
        <v>489</v>
      </c>
      <c r="EE10" s="547">
        <v>369</v>
      </c>
      <c r="EF10" s="546">
        <f>ROUND(ROUND(5.6*0.85,2)*0.34*369,0)</f>
        <v>597</v>
      </c>
      <c r="EG10" s="547">
        <v>403</v>
      </c>
      <c r="EH10" s="546">
        <f>ROUND(ROUND(5.6*0.85,2)*0.34*403,0)</f>
        <v>652</v>
      </c>
      <c r="EI10" s="547">
        <v>383</v>
      </c>
      <c r="EJ10" s="546">
        <f>ROUND(ROUND(5.6*0.85,2)*0.34*383,0)</f>
        <v>620</v>
      </c>
      <c r="EK10" s="547">
        <v>316</v>
      </c>
      <c r="EL10" s="546">
        <f>ROUND(ROUND(5.6*0.85,2)*0.34*316,0)</f>
        <v>511</v>
      </c>
      <c r="EM10" s="547">
        <v>220</v>
      </c>
      <c r="EN10" s="546">
        <f>ROUND(ROUND(5.6*0.85,2)*0.34*220,0)</f>
        <v>356</v>
      </c>
      <c r="EO10" s="547">
        <v>112</v>
      </c>
      <c r="EP10" s="546">
        <f>ROUND(ROUND(5.6*0.85,2)*0.34*112,0)</f>
        <v>181</v>
      </c>
      <c r="EQ10" s="547">
        <v>42</v>
      </c>
      <c r="ER10" s="546">
        <f>ROUND(ROUND(5.6*0.85,2)*0.34*42,0)</f>
        <v>68</v>
      </c>
      <c r="ES10" s="547">
        <v>19</v>
      </c>
      <c r="ET10" s="546">
        <f>ROUND(ROUND(5.6*0.85,2)*0.34*19,0)</f>
        <v>31</v>
      </c>
      <c r="EU10" s="547">
        <v>2</v>
      </c>
      <c r="EV10" s="546">
        <f>ROUND(ROUND(5.6*0.85,2)*0.34*2,0)</f>
        <v>3</v>
      </c>
      <c r="EW10" s="547">
        <v>0</v>
      </c>
      <c r="EX10" s="546">
        <f>ROUND(ROUND(5.6*0.85,2)*0.34*0,0)</f>
        <v>0</v>
      </c>
      <c r="EY10" s="547">
        <v>0</v>
      </c>
      <c r="EZ10" s="546">
        <f>ROUND(ROUND(5.6*0.85,2)*0.34*0,0)</f>
        <v>0</v>
      </c>
      <c r="FA10" s="547">
        <v>0</v>
      </c>
      <c r="FB10" s="546">
        <f>ROUND(ROUND(5.6*0.85,2)*0.34*0,0)</f>
        <v>0</v>
      </c>
      <c r="FC10" s="547">
        <v>0</v>
      </c>
      <c r="FD10" s="546">
        <f>ROUND(ROUND(5.6*0.85,2)*0.34*0,0)</f>
        <v>0</v>
      </c>
      <c r="FE10" s="547">
        <v>0</v>
      </c>
      <c r="FF10" s="546">
        <f>ROUND(ROUND(5.6*0.85,2)*0.34*0,0)</f>
        <v>0</v>
      </c>
      <c r="FG10" s="547">
        <v>0</v>
      </c>
      <c r="FH10" s="548">
        <f>ROUND(ROUND(5.6*0.85,2)*0.34*0,0)</f>
        <v>0</v>
      </c>
      <c r="FI10" s="550"/>
      <c r="FJ10" s="551"/>
      <c r="FK10" s="540"/>
      <c r="FL10" s="541"/>
      <c r="FM10" s="542"/>
      <c r="FN10" s="540"/>
      <c r="FO10" s="541"/>
      <c r="FP10" s="552"/>
      <c r="FQ10" s="545"/>
      <c r="FR10" s="544" t="s">
        <v>605</v>
      </c>
      <c r="FS10" s="553"/>
      <c r="FT10" s="545"/>
      <c r="FU10" s="554" t="s">
        <v>605</v>
      </c>
      <c r="FV10" s="1255" t="s">
        <v>276</v>
      </c>
      <c r="FW10" s="1282"/>
      <c r="FX10" s="1283" t="s">
        <v>277</v>
      </c>
      <c r="FY10" s="1284"/>
      <c r="FZ10" s="1285" t="s">
        <v>278</v>
      </c>
      <c r="GA10" s="1286"/>
      <c r="GB10" s="1287" t="s">
        <v>614</v>
      </c>
      <c r="GC10" s="1288"/>
      <c r="GD10" s="563" t="s">
        <v>512</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605</v>
      </c>
      <c r="FS11" s="578"/>
      <c r="FT11" s="573"/>
      <c r="FU11" s="579" t="s">
        <v>494</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605</v>
      </c>
      <c r="FS12" s="578"/>
      <c r="FT12" s="573"/>
      <c r="FU12" s="579" t="s">
        <v>605</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527</v>
      </c>
      <c r="FS13" s="613"/>
      <c r="FT13" s="608"/>
      <c r="FU13" s="614" t="s">
        <v>605</v>
      </c>
      <c r="FV13" s="580"/>
      <c r="FW13" s="581"/>
      <c r="FX13" s="582"/>
      <c r="FY13" s="583"/>
      <c r="FZ13" s="584"/>
      <c r="GA13" s="585"/>
      <c r="GB13" s="586"/>
      <c r="GC13" s="587"/>
      <c r="GD13" s="586"/>
      <c r="GE13" s="588"/>
      <c r="GF13" s="486"/>
      <c r="GG13" s="589"/>
      <c r="GH13" s="589"/>
      <c r="GI13" s="589"/>
      <c r="GJ13" s="404"/>
      <c r="GK13" s="615">
        <v>206</v>
      </c>
      <c r="GL13" s="616"/>
      <c r="GM13" s="617" t="s">
        <v>431</v>
      </c>
      <c r="GN13" s="618">
        <v>5.6</v>
      </c>
      <c r="GO13" s="619">
        <v>0</v>
      </c>
      <c r="GP13" s="619">
        <v>1</v>
      </c>
      <c r="GQ13" s="620">
        <v>0</v>
      </c>
      <c r="GR13" s="621">
        <v>5.6</v>
      </c>
      <c r="GS13" s="565"/>
      <c r="GT13" s="404"/>
      <c r="GU13" s="615">
        <v>206</v>
      </c>
      <c r="GV13" s="616"/>
      <c r="GW13" s="622" t="s">
        <v>432</v>
      </c>
      <c r="GX13" s="623">
        <v>5.6</v>
      </c>
      <c r="GY13" s="624"/>
      <c r="GZ13" s="625">
        <v>0.65</v>
      </c>
      <c r="HA13" s="626">
        <v>3.64</v>
      </c>
      <c r="HB13" s="627"/>
      <c r="HC13" s="517"/>
      <c r="HD13" s="782"/>
      <c r="HE13" s="428"/>
      <c r="HF13" s="377"/>
      <c r="HG13" s="377"/>
    </row>
    <row r="14" spans="1:353" ht="20.100000000000001" customHeight="1">
      <c r="A14" s="628"/>
      <c r="B14" s="629"/>
      <c r="C14" s="629"/>
      <c r="D14" s="630" t="s">
        <v>606</v>
      </c>
      <c r="E14" s="629"/>
      <c r="F14" s="629"/>
      <c r="G14" s="1263"/>
      <c r="H14" s="1264">
        <f>SUM(H10:H13)</f>
        <v>0</v>
      </c>
      <c r="I14" s="1271"/>
      <c r="J14" s="1264">
        <f>SUM(J10:J13)</f>
        <v>0</v>
      </c>
      <c r="K14" s="1271"/>
      <c r="L14" s="1264">
        <f>SUM(L10:L13)</f>
        <v>0</v>
      </c>
      <c r="M14" s="1271"/>
      <c r="N14" s="1264">
        <f>SUM(N10:N13)</f>
        <v>0</v>
      </c>
      <c r="O14" s="1271"/>
      <c r="P14" s="1264">
        <f>SUM(P10:P13)</f>
        <v>0</v>
      </c>
      <c r="Q14" s="1271"/>
      <c r="R14" s="1264">
        <f>SUM(R10:R13)</f>
        <v>0</v>
      </c>
      <c r="S14" s="1271"/>
      <c r="T14" s="1264">
        <f>SUM(T10:T13)</f>
        <v>0</v>
      </c>
      <c r="U14" s="1271"/>
      <c r="V14" s="1264">
        <f>SUM(V10:V13)</f>
        <v>0</v>
      </c>
      <c r="W14" s="1271"/>
      <c r="X14" s="1264">
        <f>SUM(X10:X13)</f>
        <v>210</v>
      </c>
      <c r="Y14" s="1271"/>
      <c r="Z14" s="1264">
        <f>SUM(Z10:Z13)</f>
        <v>275</v>
      </c>
      <c r="AA14" s="1271"/>
      <c r="AB14" s="1264">
        <f>SUM(AB10:AB13)</f>
        <v>312</v>
      </c>
      <c r="AC14" s="1271"/>
      <c r="AD14" s="1264">
        <f>SUM(AD10:AD13)</f>
        <v>304</v>
      </c>
      <c r="AE14" s="1271"/>
      <c r="AF14" s="1264">
        <f>SUM(AF10:AF13)</f>
        <v>248</v>
      </c>
      <c r="AG14" s="1271"/>
      <c r="AH14" s="1264">
        <f>SUM(AH10:AH13)</f>
        <v>146</v>
      </c>
      <c r="AI14" s="1271"/>
      <c r="AJ14" s="1264">
        <f>SUM(AJ10:AJ13)</f>
        <v>129</v>
      </c>
      <c r="AK14" s="1271"/>
      <c r="AL14" s="1264">
        <f>SUM(AL10:AL13)</f>
        <v>102</v>
      </c>
      <c r="AM14" s="1271"/>
      <c r="AN14" s="1264">
        <f>SUM(AN10:AN13)</f>
        <v>63</v>
      </c>
      <c r="AO14" s="1271"/>
      <c r="AP14" s="1264">
        <f>SUM(AP10:AP13)</f>
        <v>19</v>
      </c>
      <c r="AQ14" s="1271"/>
      <c r="AR14" s="1264">
        <f>SUM(AR10:AR13)</f>
        <v>0</v>
      </c>
      <c r="AS14" s="1271"/>
      <c r="AT14" s="1264">
        <f>SUM(AT10:AT13)</f>
        <v>0</v>
      </c>
      <c r="AU14" s="1271"/>
      <c r="AV14" s="1264">
        <f>SUM(AV10:AV13)</f>
        <v>0</v>
      </c>
      <c r="AW14" s="1271"/>
      <c r="AX14" s="1264">
        <f>SUM(AX10:AX13)</f>
        <v>0</v>
      </c>
      <c r="AY14" s="1271"/>
      <c r="AZ14" s="1264">
        <f>SUM(AZ10:AZ13)</f>
        <v>0</v>
      </c>
      <c r="BA14" s="1271"/>
      <c r="BB14" s="1266">
        <f>SUM(BB10:BB13)</f>
        <v>0</v>
      </c>
      <c r="BC14" s="635"/>
      <c r="BD14" s="628"/>
      <c r="BE14" s="629"/>
      <c r="BF14" s="629"/>
      <c r="BG14" s="630" t="s">
        <v>606</v>
      </c>
      <c r="BH14" s="629"/>
      <c r="BI14" s="629"/>
      <c r="BJ14" s="1263"/>
      <c r="BK14" s="1264">
        <f>SUM(BK10:BK13)</f>
        <v>0</v>
      </c>
      <c r="BL14" s="1271"/>
      <c r="BM14" s="1264">
        <f>SUM(BM10:BM13)</f>
        <v>0</v>
      </c>
      <c r="BN14" s="1271"/>
      <c r="BO14" s="1264">
        <f>SUM(BO10:BO13)</f>
        <v>0</v>
      </c>
      <c r="BP14" s="1271"/>
      <c r="BQ14" s="1264">
        <f>SUM(BQ10:BQ13)</f>
        <v>0</v>
      </c>
      <c r="BR14" s="1271"/>
      <c r="BS14" s="1264">
        <f>SUM(BS10:BS13)</f>
        <v>0</v>
      </c>
      <c r="BT14" s="1271"/>
      <c r="BU14" s="1264">
        <f>SUM(BU10:BU13)</f>
        <v>0</v>
      </c>
      <c r="BV14" s="1271"/>
      <c r="BW14" s="1264">
        <f>SUM(BW10:BW13)</f>
        <v>0</v>
      </c>
      <c r="BX14" s="1271"/>
      <c r="BY14" s="1264">
        <f>SUM(BY10:BY13)</f>
        <v>0</v>
      </c>
      <c r="BZ14" s="1271"/>
      <c r="CA14" s="1264">
        <f>SUM(CA10:CA13)</f>
        <v>228</v>
      </c>
      <c r="CB14" s="1271"/>
      <c r="CC14" s="1264">
        <f>SUM(CC10:CC13)</f>
        <v>311</v>
      </c>
      <c r="CD14" s="1271"/>
      <c r="CE14" s="1264">
        <f>SUM(CE10:CE13)</f>
        <v>350</v>
      </c>
      <c r="CF14" s="1271"/>
      <c r="CG14" s="1264">
        <f>SUM(CG10:CG13)</f>
        <v>330</v>
      </c>
      <c r="CH14" s="1271"/>
      <c r="CI14" s="1264">
        <f>SUM(CI10:CI13)</f>
        <v>251</v>
      </c>
      <c r="CJ14" s="1271"/>
      <c r="CK14" s="1264">
        <f>SUM(CK10:CK13)</f>
        <v>105</v>
      </c>
      <c r="CL14" s="1271"/>
      <c r="CM14" s="1264">
        <f>SUM(CM10:CM13)</f>
        <v>102</v>
      </c>
      <c r="CN14" s="1271"/>
      <c r="CO14" s="1264">
        <f>SUM(CO10:CO13)</f>
        <v>83</v>
      </c>
      <c r="CP14" s="1271"/>
      <c r="CQ14" s="1264">
        <f>SUM(CQ10:CQ13)</f>
        <v>60</v>
      </c>
      <c r="CR14" s="1271"/>
      <c r="CS14" s="1264">
        <f>SUM(CS10:CS13)</f>
        <v>28</v>
      </c>
      <c r="CT14" s="1271"/>
      <c r="CU14" s="1264">
        <f>SUM(CU10:CU13)</f>
        <v>0</v>
      </c>
      <c r="CV14" s="1271"/>
      <c r="CW14" s="1264">
        <f>SUM(CW10:CW13)</f>
        <v>0</v>
      </c>
      <c r="CX14" s="1271"/>
      <c r="CY14" s="1264">
        <f>SUM(CY10:CY13)</f>
        <v>0</v>
      </c>
      <c r="CZ14" s="1271"/>
      <c r="DA14" s="1264">
        <f>SUM(DA10:DA13)</f>
        <v>0</v>
      </c>
      <c r="DB14" s="1271"/>
      <c r="DC14" s="1264">
        <f>SUM(DC10:DC13)</f>
        <v>0</v>
      </c>
      <c r="DD14" s="1271"/>
      <c r="DE14" s="1266">
        <f>SUM(DE10:DE13)</f>
        <v>0</v>
      </c>
      <c r="DF14" s="635"/>
      <c r="DG14" s="628"/>
      <c r="DH14" s="629"/>
      <c r="DI14" s="629"/>
      <c r="DJ14" s="630" t="s">
        <v>606</v>
      </c>
      <c r="DK14" s="629"/>
      <c r="DL14" s="629"/>
      <c r="DM14" s="1263"/>
      <c r="DN14" s="1264">
        <f>SUM(DN10:DN13)</f>
        <v>0</v>
      </c>
      <c r="DO14" s="1271"/>
      <c r="DP14" s="1264">
        <f>SUM(DP10:DP13)</f>
        <v>0</v>
      </c>
      <c r="DQ14" s="1271"/>
      <c r="DR14" s="1264">
        <f>SUM(DR10:DR13)</f>
        <v>0</v>
      </c>
      <c r="DS14" s="1271"/>
      <c r="DT14" s="1264">
        <f>SUM(DT10:DT13)</f>
        <v>0</v>
      </c>
      <c r="DU14" s="1271"/>
      <c r="DV14" s="1264">
        <f>SUM(DV10:DV13)</f>
        <v>0</v>
      </c>
      <c r="DW14" s="1271"/>
      <c r="DX14" s="1264">
        <f>SUM(DX10:DX13)</f>
        <v>0</v>
      </c>
      <c r="DY14" s="1271"/>
      <c r="DZ14" s="1264">
        <f>SUM(DZ10:DZ13)</f>
        <v>0</v>
      </c>
      <c r="EA14" s="1271"/>
      <c r="EB14" s="1264">
        <f>SUM(EB10:EB13)</f>
        <v>0</v>
      </c>
      <c r="EC14" s="1271"/>
      <c r="ED14" s="1264">
        <f>SUM(ED10:ED13)</f>
        <v>489</v>
      </c>
      <c r="EE14" s="1271"/>
      <c r="EF14" s="1264">
        <f>SUM(EF10:EF13)</f>
        <v>597</v>
      </c>
      <c r="EG14" s="1271"/>
      <c r="EH14" s="1264">
        <f>SUM(EH10:EH13)</f>
        <v>652</v>
      </c>
      <c r="EI14" s="1271"/>
      <c r="EJ14" s="1264">
        <f>SUM(EJ10:EJ13)</f>
        <v>620</v>
      </c>
      <c r="EK14" s="1271"/>
      <c r="EL14" s="1264">
        <f>SUM(EL10:EL13)</f>
        <v>511</v>
      </c>
      <c r="EM14" s="1271"/>
      <c r="EN14" s="1264">
        <f>SUM(EN10:EN13)</f>
        <v>356</v>
      </c>
      <c r="EO14" s="1271"/>
      <c r="EP14" s="1264">
        <f>SUM(EP10:EP13)</f>
        <v>181</v>
      </c>
      <c r="EQ14" s="1271"/>
      <c r="ER14" s="1264">
        <f>SUM(ER10:ER13)</f>
        <v>68</v>
      </c>
      <c r="ES14" s="1271"/>
      <c r="ET14" s="1264">
        <f>SUM(ET10:ET13)</f>
        <v>31</v>
      </c>
      <c r="EU14" s="1271"/>
      <c r="EV14" s="1264">
        <f>SUM(EV10:EV13)</f>
        <v>3</v>
      </c>
      <c r="EW14" s="1271"/>
      <c r="EX14" s="1264">
        <f>SUM(EX10:EX13)</f>
        <v>0</v>
      </c>
      <c r="EY14" s="1271"/>
      <c r="EZ14" s="1264">
        <f>SUM(EZ10:EZ13)</f>
        <v>0</v>
      </c>
      <c r="FA14" s="1271"/>
      <c r="FB14" s="1264">
        <f>SUM(FB10:FB13)</f>
        <v>0</v>
      </c>
      <c r="FC14" s="1271"/>
      <c r="FD14" s="1264">
        <f>SUM(FD10:FD13)</f>
        <v>0</v>
      </c>
      <c r="FE14" s="1271"/>
      <c r="FF14" s="1264">
        <f>SUM(FF10:FF13)</f>
        <v>0</v>
      </c>
      <c r="FG14" s="1271"/>
      <c r="FH14" s="1266">
        <f>SUM(FH10:FH13)</f>
        <v>0</v>
      </c>
      <c r="FI14" s="636"/>
      <c r="FJ14" s="551"/>
      <c r="FK14" s="629"/>
      <c r="FL14" s="629"/>
      <c r="FM14" s="630" t="s">
        <v>606</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534</v>
      </c>
      <c r="E15" s="647" t="s">
        <v>285</v>
      </c>
      <c r="F15" s="648" t="s">
        <v>104</v>
      </c>
      <c r="G15" s="649" t="s">
        <v>607</v>
      </c>
      <c r="H15" s="650" t="s">
        <v>502</v>
      </c>
      <c r="I15" s="651" t="s">
        <v>288</v>
      </c>
      <c r="J15" s="650" t="s">
        <v>532</v>
      </c>
      <c r="K15" s="651" t="s">
        <v>288</v>
      </c>
      <c r="L15" s="650" t="s">
        <v>502</v>
      </c>
      <c r="M15" s="651" t="s">
        <v>288</v>
      </c>
      <c r="N15" s="650" t="s">
        <v>502</v>
      </c>
      <c r="O15" s="651" t="s">
        <v>288</v>
      </c>
      <c r="P15" s="650" t="s">
        <v>502</v>
      </c>
      <c r="Q15" s="651" t="s">
        <v>288</v>
      </c>
      <c r="R15" s="650" t="s">
        <v>532</v>
      </c>
      <c r="S15" s="651" t="s">
        <v>288</v>
      </c>
      <c r="T15" s="650" t="s">
        <v>608</v>
      </c>
      <c r="U15" s="651" t="s">
        <v>288</v>
      </c>
      <c r="V15" s="650" t="s">
        <v>532</v>
      </c>
      <c r="W15" s="651" t="s">
        <v>288</v>
      </c>
      <c r="X15" s="650" t="s">
        <v>609</v>
      </c>
      <c r="Y15" s="651" t="s">
        <v>288</v>
      </c>
      <c r="Z15" s="650" t="s">
        <v>608</v>
      </c>
      <c r="AA15" s="651" t="s">
        <v>288</v>
      </c>
      <c r="AB15" s="650" t="s">
        <v>608</v>
      </c>
      <c r="AC15" s="651" t="s">
        <v>288</v>
      </c>
      <c r="AD15" s="650" t="s">
        <v>608</v>
      </c>
      <c r="AE15" s="651" t="s">
        <v>288</v>
      </c>
      <c r="AF15" s="650" t="s">
        <v>502</v>
      </c>
      <c r="AG15" s="651" t="s">
        <v>288</v>
      </c>
      <c r="AH15" s="650" t="s">
        <v>608</v>
      </c>
      <c r="AI15" s="651" t="s">
        <v>288</v>
      </c>
      <c r="AJ15" s="650" t="s">
        <v>608</v>
      </c>
      <c r="AK15" s="651" t="s">
        <v>288</v>
      </c>
      <c r="AL15" s="650" t="s">
        <v>532</v>
      </c>
      <c r="AM15" s="651" t="s">
        <v>288</v>
      </c>
      <c r="AN15" s="650" t="s">
        <v>608</v>
      </c>
      <c r="AO15" s="651" t="s">
        <v>288</v>
      </c>
      <c r="AP15" s="650" t="s">
        <v>532</v>
      </c>
      <c r="AQ15" s="651" t="s">
        <v>288</v>
      </c>
      <c r="AR15" s="650" t="s">
        <v>608</v>
      </c>
      <c r="AS15" s="651" t="s">
        <v>288</v>
      </c>
      <c r="AT15" s="650" t="s">
        <v>608</v>
      </c>
      <c r="AU15" s="651" t="s">
        <v>288</v>
      </c>
      <c r="AV15" s="650" t="s">
        <v>608</v>
      </c>
      <c r="AW15" s="651" t="s">
        <v>288</v>
      </c>
      <c r="AX15" s="650" t="s">
        <v>502</v>
      </c>
      <c r="AY15" s="651" t="s">
        <v>288</v>
      </c>
      <c r="AZ15" s="650" t="s">
        <v>532</v>
      </c>
      <c r="BA15" s="651" t="s">
        <v>288</v>
      </c>
      <c r="BB15" s="652" t="s">
        <v>291</v>
      </c>
      <c r="BC15" s="653"/>
      <c r="BD15" s="519" t="s">
        <v>283</v>
      </c>
      <c r="BE15" s="645" t="s">
        <v>261</v>
      </c>
      <c r="BF15" s="646" t="s">
        <v>262</v>
      </c>
      <c r="BG15" s="647" t="s">
        <v>534</v>
      </c>
      <c r="BH15" s="647" t="s">
        <v>285</v>
      </c>
      <c r="BI15" s="648" t="s">
        <v>104</v>
      </c>
      <c r="BJ15" s="649" t="s">
        <v>607</v>
      </c>
      <c r="BK15" s="650" t="s">
        <v>502</v>
      </c>
      <c r="BL15" s="651" t="s">
        <v>288</v>
      </c>
      <c r="BM15" s="650" t="s">
        <v>608</v>
      </c>
      <c r="BN15" s="651" t="s">
        <v>288</v>
      </c>
      <c r="BO15" s="650" t="s">
        <v>609</v>
      </c>
      <c r="BP15" s="651" t="s">
        <v>288</v>
      </c>
      <c r="BQ15" s="650" t="s">
        <v>608</v>
      </c>
      <c r="BR15" s="651" t="s">
        <v>288</v>
      </c>
      <c r="BS15" s="650" t="s">
        <v>502</v>
      </c>
      <c r="BT15" s="651" t="s">
        <v>288</v>
      </c>
      <c r="BU15" s="650" t="s">
        <v>608</v>
      </c>
      <c r="BV15" s="651" t="s">
        <v>288</v>
      </c>
      <c r="BW15" s="650" t="s">
        <v>608</v>
      </c>
      <c r="BX15" s="651" t="s">
        <v>288</v>
      </c>
      <c r="BY15" s="650" t="s">
        <v>502</v>
      </c>
      <c r="BZ15" s="651" t="s">
        <v>288</v>
      </c>
      <c r="CA15" s="650" t="s">
        <v>608</v>
      </c>
      <c r="CB15" s="651" t="s">
        <v>288</v>
      </c>
      <c r="CC15" s="650" t="s">
        <v>532</v>
      </c>
      <c r="CD15" s="651" t="s">
        <v>288</v>
      </c>
      <c r="CE15" s="650" t="s">
        <v>608</v>
      </c>
      <c r="CF15" s="651" t="s">
        <v>288</v>
      </c>
      <c r="CG15" s="650" t="s">
        <v>502</v>
      </c>
      <c r="CH15" s="651" t="s">
        <v>288</v>
      </c>
      <c r="CI15" s="650" t="s">
        <v>608</v>
      </c>
      <c r="CJ15" s="651" t="s">
        <v>288</v>
      </c>
      <c r="CK15" s="650" t="s">
        <v>608</v>
      </c>
      <c r="CL15" s="651" t="s">
        <v>288</v>
      </c>
      <c r="CM15" s="650" t="s">
        <v>608</v>
      </c>
      <c r="CN15" s="651" t="s">
        <v>288</v>
      </c>
      <c r="CO15" s="650" t="s">
        <v>532</v>
      </c>
      <c r="CP15" s="651" t="s">
        <v>288</v>
      </c>
      <c r="CQ15" s="650" t="s">
        <v>502</v>
      </c>
      <c r="CR15" s="651" t="s">
        <v>288</v>
      </c>
      <c r="CS15" s="650" t="s">
        <v>532</v>
      </c>
      <c r="CT15" s="651" t="s">
        <v>288</v>
      </c>
      <c r="CU15" s="650" t="s">
        <v>608</v>
      </c>
      <c r="CV15" s="651" t="s">
        <v>288</v>
      </c>
      <c r="CW15" s="650" t="s">
        <v>608</v>
      </c>
      <c r="CX15" s="651" t="s">
        <v>288</v>
      </c>
      <c r="CY15" s="650" t="s">
        <v>608</v>
      </c>
      <c r="CZ15" s="651" t="s">
        <v>288</v>
      </c>
      <c r="DA15" s="650" t="s">
        <v>502</v>
      </c>
      <c r="DB15" s="651" t="s">
        <v>288</v>
      </c>
      <c r="DC15" s="650" t="s">
        <v>608</v>
      </c>
      <c r="DD15" s="651" t="s">
        <v>288</v>
      </c>
      <c r="DE15" s="652" t="s">
        <v>291</v>
      </c>
      <c r="DF15" s="653"/>
      <c r="DG15" s="519" t="s">
        <v>283</v>
      </c>
      <c r="DH15" s="645" t="s">
        <v>261</v>
      </c>
      <c r="DI15" s="646" t="s">
        <v>262</v>
      </c>
      <c r="DJ15" s="647" t="s">
        <v>499</v>
      </c>
      <c r="DK15" s="647" t="s">
        <v>285</v>
      </c>
      <c r="DL15" s="648" t="s">
        <v>104</v>
      </c>
      <c r="DM15" s="649" t="s">
        <v>607</v>
      </c>
      <c r="DN15" s="650" t="s">
        <v>608</v>
      </c>
      <c r="DO15" s="651" t="s">
        <v>288</v>
      </c>
      <c r="DP15" s="650" t="s">
        <v>502</v>
      </c>
      <c r="DQ15" s="651" t="s">
        <v>288</v>
      </c>
      <c r="DR15" s="650" t="s">
        <v>532</v>
      </c>
      <c r="DS15" s="651" t="s">
        <v>288</v>
      </c>
      <c r="DT15" s="650" t="s">
        <v>502</v>
      </c>
      <c r="DU15" s="651" t="s">
        <v>288</v>
      </c>
      <c r="DV15" s="650" t="s">
        <v>502</v>
      </c>
      <c r="DW15" s="651" t="s">
        <v>288</v>
      </c>
      <c r="DX15" s="650" t="s">
        <v>502</v>
      </c>
      <c r="DY15" s="651" t="s">
        <v>288</v>
      </c>
      <c r="DZ15" s="650" t="s">
        <v>532</v>
      </c>
      <c r="EA15" s="651" t="s">
        <v>288</v>
      </c>
      <c r="EB15" s="650" t="s">
        <v>608</v>
      </c>
      <c r="EC15" s="651" t="s">
        <v>288</v>
      </c>
      <c r="ED15" s="650" t="s">
        <v>532</v>
      </c>
      <c r="EE15" s="651" t="s">
        <v>288</v>
      </c>
      <c r="EF15" s="650" t="s">
        <v>609</v>
      </c>
      <c r="EG15" s="651" t="s">
        <v>288</v>
      </c>
      <c r="EH15" s="650" t="s">
        <v>532</v>
      </c>
      <c r="EI15" s="651" t="s">
        <v>288</v>
      </c>
      <c r="EJ15" s="650" t="s">
        <v>608</v>
      </c>
      <c r="EK15" s="651" t="s">
        <v>288</v>
      </c>
      <c r="EL15" s="650" t="s">
        <v>502</v>
      </c>
      <c r="EM15" s="651" t="s">
        <v>288</v>
      </c>
      <c r="EN15" s="650" t="s">
        <v>608</v>
      </c>
      <c r="EO15" s="651" t="s">
        <v>288</v>
      </c>
      <c r="EP15" s="650" t="s">
        <v>609</v>
      </c>
      <c r="EQ15" s="651" t="s">
        <v>288</v>
      </c>
      <c r="ER15" s="650" t="s">
        <v>532</v>
      </c>
      <c r="ES15" s="651" t="s">
        <v>288</v>
      </c>
      <c r="ET15" s="650" t="s">
        <v>608</v>
      </c>
      <c r="EU15" s="651" t="s">
        <v>288</v>
      </c>
      <c r="EV15" s="650" t="s">
        <v>502</v>
      </c>
      <c r="EW15" s="651" t="s">
        <v>288</v>
      </c>
      <c r="EX15" s="650" t="s">
        <v>608</v>
      </c>
      <c r="EY15" s="651" t="s">
        <v>288</v>
      </c>
      <c r="EZ15" s="650" t="s">
        <v>609</v>
      </c>
      <c r="FA15" s="651" t="s">
        <v>288</v>
      </c>
      <c r="FB15" s="650" t="s">
        <v>532</v>
      </c>
      <c r="FC15" s="651" t="s">
        <v>288</v>
      </c>
      <c r="FD15" s="650" t="s">
        <v>502</v>
      </c>
      <c r="FE15" s="651" t="s">
        <v>288</v>
      </c>
      <c r="FF15" s="650" t="s">
        <v>608</v>
      </c>
      <c r="FG15" s="651" t="s">
        <v>288</v>
      </c>
      <c r="FH15" s="652" t="s">
        <v>291</v>
      </c>
      <c r="FI15" s="654"/>
      <c r="FJ15" s="529" t="s">
        <v>283</v>
      </c>
      <c r="FK15" s="645" t="s">
        <v>261</v>
      </c>
      <c r="FL15" s="646" t="s">
        <v>262</v>
      </c>
      <c r="FM15" s="647" t="s">
        <v>601</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77</v>
      </c>
      <c r="D16" s="542">
        <v>5.6</v>
      </c>
      <c r="E16" s="663" t="s">
        <v>325</v>
      </c>
      <c r="F16" s="664"/>
      <c r="G16" s="665">
        <v>0</v>
      </c>
      <c r="H16" s="546">
        <f>ROUND(5.6*2.1*0,0)</f>
        <v>0</v>
      </c>
      <c r="I16" s="666">
        <v>0</v>
      </c>
      <c r="J16" s="546">
        <f>ROUND(5.6*2.1*0,0)</f>
        <v>0</v>
      </c>
      <c r="K16" s="666">
        <v>0</v>
      </c>
      <c r="L16" s="546">
        <f>ROUND(5.6*2.1*0,0)</f>
        <v>0</v>
      </c>
      <c r="M16" s="666">
        <v>0</v>
      </c>
      <c r="N16" s="546">
        <f>ROUND(5.6*2.1*0,0)</f>
        <v>0</v>
      </c>
      <c r="O16" s="666">
        <v>0</v>
      </c>
      <c r="P16" s="546">
        <f>ROUND(5.6*2.1*0,0)</f>
        <v>0</v>
      </c>
      <c r="Q16" s="666">
        <v>0</v>
      </c>
      <c r="R16" s="546">
        <f>ROUND(5.6*2.1*0,0)</f>
        <v>0</v>
      </c>
      <c r="S16" s="666">
        <v>0</v>
      </c>
      <c r="T16" s="546">
        <f>ROUND(5.6*2.1*0,0)</f>
        <v>0</v>
      </c>
      <c r="U16" s="666">
        <v>0</v>
      </c>
      <c r="V16" s="546">
        <f>ROUND(5.6*2.1*0,0)</f>
        <v>0</v>
      </c>
      <c r="W16" s="666">
        <v>3.3</v>
      </c>
      <c r="X16" s="546">
        <f>ROUND(5.6*2.1*3.3,0)</f>
        <v>39</v>
      </c>
      <c r="Y16" s="666">
        <v>4.5</v>
      </c>
      <c r="Z16" s="546">
        <f>ROUND(5.6*2.1*4.5,0)</f>
        <v>53</v>
      </c>
      <c r="AA16" s="666">
        <v>5.2</v>
      </c>
      <c r="AB16" s="546">
        <f>ROUND(5.6*2.1*5.2,0)</f>
        <v>61</v>
      </c>
      <c r="AC16" s="666">
        <v>5.7</v>
      </c>
      <c r="AD16" s="546">
        <f>ROUND(5.6*2.1*5.7,0)</f>
        <v>67</v>
      </c>
      <c r="AE16" s="666">
        <v>5.9</v>
      </c>
      <c r="AF16" s="546">
        <f>ROUND(5.6*2.1*5.9,0)</f>
        <v>69</v>
      </c>
      <c r="AG16" s="666">
        <v>5.9</v>
      </c>
      <c r="AH16" s="546">
        <f>ROUND(5.6*2.1*5.9,0)</f>
        <v>69</v>
      </c>
      <c r="AI16" s="666">
        <v>5.4</v>
      </c>
      <c r="AJ16" s="546">
        <f>ROUND(5.6*2.1*5.4,0)</f>
        <v>64</v>
      </c>
      <c r="AK16" s="666">
        <v>4.9000000000000004</v>
      </c>
      <c r="AL16" s="546">
        <f>ROUND(5.6*2.1*4.9,0)</f>
        <v>58</v>
      </c>
      <c r="AM16" s="666">
        <v>4</v>
      </c>
      <c r="AN16" s="546">
        <f>ROUND(5.6*2.1*4,0)</f>
        <v>47</v>
      </c>
      <c r="AO16" s="666">
        <v>3.3</v>
      </c>
      <c r="AP16" s="546">
        <f>ROUND(5.6*2.1*3.3,0)</f>
        <v>39</v>
      </c>
      <c r="AQ16" s="666">
        <v>0</v>
      </c>
      <c r="AR16" s="546">
        <f>ROUND(5.6*2.1*0,0)</f>
        <v>0</v>
      </c>
      <c r="AS16" s="666">
        <v>0</v>
      </c>
      <c r="AT16" s="546">
        <f>ROUND(5.6*2.1*0,0)</f>
        <v>0</v>
      </c>
      <c r="AU16" s="666">
        <v>0</v>
      </c>
      <c r="AV16" s="546">
        <f>ROUND(5.6*2.1*0,0)</f>
        <v>0</v>
      </c>
      <c r="AW16" s="666">
        <v>0</v>
      </c>
      <c r="AX16" s="546">
        <f>ROUND(5.6*2.1*0,0)</f>
        <v>0</v>
      </c>
      <c r="AY16" s="666">
        <v>0</v>
      </c>
      <c r="AZ16" s="546">
        <f>ROUND(5.6*2.1*0,0)</f>
        <v>0</v>
      </c>
      <c r="BA16" s="666">
        <v>0</v>
      </c>
      <c r="BB16" s="667">
        <f>ROUND(5.6*2.1*0,0)</f>
        <v>0</v>
      </c>
      <c r="BC16" s="549"/>
      <c r="BD16" s="539"/>
      <c r="BE16" s="541" t="s">
        <v>229</v>
      </c>
      <c r="BF16" s="662" t="s">
        <v>77</v>
      </c>
      <c r="BG16" s="542">
        <v>5.6</v>
      </c>
      <c r="BH16" s="663" t="s">
        <v>325</v>
      </c>
      <c r="BI16" s="664"/>
      <c r="BJ16" s="665">
        <v>0</v>
      </c>
      <c r="BK16" s="546">
        <f>ROUND(5.6*2.1*0,0)</f>
        <v>0</v>
      </c>
      <c r="BL16" s="666">
        <v>0</v>
      </c>
      <c r="BM16" s="546">
        <f>ROUND(5.6*2.1*0,0)</f>
        <v>0</v>
      </c>
      <c r="BN16" s="666">
        <v>0</v>
      </c>
      <c r="BO16" s="546">
        <f>ROUND(5.6*2.1*0,0)</f>
        <v>0</v>
      </c>
      <c r="BP16" s="666">
        <v>0</v>
      </c>
      <c r="BQ16" s="546">
        <f>ROUND(5.6*2.1*0,0)</f>
        <v>0</v>
      </c>
      <c r="BR16" s="666">
        <v>0</v>
      </c>
      <c r="BS16" s="546">
        <f>ROUND(5.6*2.1*0,0)</f>
        <v>0</v>
      </c>
      <c r="BT16" s="666">
        <v>0</v>
      </c>
      <c r="BU16" s="546">
        <f>ROUND(5.6*2.1*0,0)</f>
        <v>0</v>
      </c>
      <c r="BV16" s="666">
        <v>0</v>
      </c>
      <c r="BW16" s="546">
        <f>ROUND(5.6*2.1*0,0)</f>
        <v>0</v>
      </c>
      <c r="BX16" s="666">
        <v>0</v>
      </c>
      <c r="BY16" s="546">
        <f>ROUND(5.6*2.1*0,0)</f>
        <v>0</v>
      </c>
      <c r="BZ16" s="666">
        <v>3.1</v>
      </c>
      <c r="CA16" s="546">
        <f>ROUND(5.6*2.1*3.1,0)</f>
        <v>36</v>
      </c>
      <c r="CB16" s="666">
        <v>4.0999999999999996</v>
      </c>
      <c r="CC16" s="546">
        <f>ROUND(5.6*2.1*4.1,0)</f>
        <v>48</v>
      </c>
      <c r="CD16" s="666">
        <v>5</v>
      </c>
      <c r="CE16" s="546">
        <f>ROUND(5.6*2.1*5,0)</f>
        <v>59</v>
      </c>
      <c r="CF16" s="666">
        <v>5.4</v>
      </c>
      <c r="CG16" s="546">
        <f>ROUND(5.6*2.1*5.4,0)</f>
        <v>64</v>
      </c>
      <c r="CH16" s="666">
        <v>5.6</v>
      </c>
      <c r="CI16" s="546">
        <f>ROUND(5.6*2.1*5.6,0)</f>
        <v>66</v>
      </c>
      <c r="CJ16" s="666">
        <v>5.4</v>
      </c>
      <c r="CK16" s="546">
        <f>ROUND(5.6*2.1*5.4,0)</f>
        <v>64</v>
      </c>
      <c r="CL16" s="666">
        <v>4.9000000000000004</v>
      </c>
      <c r="CM16" s="546">
        <f>ROUND(5.6*2.1*4.9,0)</f>
        <v>58</v>
      </c>
      <c r="CN16" s="666">
        <v>4.5</v>
      </c>
      <c r="CO16" s="546">
        <f>ROUND(5.6*2.1*4.5,0)</f>
        <v>53</v>
      </c>
      <c r="CP16" s="666">
        <v>4</v>
      </c>
      <c r="CQ16" s="546">
        <f>ROUND(5.6*2.1*4,0)</f>
        <v>47</v>
      </c>
      <c r="CR16" s="666">
        <v>3.1</v>
      </c>
      <c r="CS16" s="546">
        <f>ROUND(5.6*2.1*3.1,0)</f>
        <v>36</v>
      </c>
      <c r="CT16" s="666">
        <v>0</v>
      </c>
      <c r="CU16" s="546">
        <f>ROUND(5.6*2.1*0,0)</f>
        <v>0</v>
      </c>
      <c r="CV16" s="666">
        <v>0</v>
      </c>
      <c r="CW16" s="546">
        <f>ROUND(5.6*2.1*0,0)</f>
        <v>0</v>
      </c>
      <c r="CX16" s="666">
        <v>0</v>
      </c>
      <c r="CY16" s="546">
        <f>ROUND(5.6*2.1*0,0)</f>
        <v>0</v>
      </c>
      <c r="CZ16" s="666">
        <v>0</v>
      </c>
      <c r="DA16" s="546">
        <f>ROUND(5.6*2.1*0,0)</f>
        <v>0</v>
      </c>
      <c r="DB16" s="666">
        <v>0</v>
      </c>
      <c r="DC16" s="546">
        <f>ROUND(5.6*2.1*0,0)</f>
        <v>0</v>
      </c>
      <c r="DD16" s="666">
        <v>0</v>
      </c>
      <c r="DE16" s="667">
        <f>ROUND(5.6*2.1*0,0)</f>
        <v>0</v>
      </c>
      <c r="DF16" s="549"/>
      <c r="DG16" s="539"/>
      <c r="DH16" s="541" t="s">
        <v>229</v>
      </c>
      <c r="DI16" s="662" t="s">
        <v>77</v>
      </c>
      <c r="DJ16" s="542">
        <v>5.6</v>
      </c>
      <c r="DK16" s="663" t="s">
        <v>325</v>
      </c>
      <c r="DL16" s="664"/>
      <c r="DM16" s="665">
        <v>0</v>
      </c>
      <c r="DN16" s="546">
        <f>ROUND(5.6*2.1*0,0)</f>
        <v>0</v>
      </c>
      <c r="DO16" s="666">
        <v>0</v>
      </c>
      <c r="DP16" s="546">
        <f>ROUND(5.6*2.1*0,0)</f>
        <v>0</v>
      </c>
      <c r="DQ16" s="666">
        <v>0</v>
      </c>
      <c r="DR16" s="546">
        <f>ROUND(5.6*2.1*0,0)</f>
        <v>0</v>
      </c>
      <c r="DS16" s="666">
        <v>0</v>
      </c>
      <c r="DT16" s="546">
        <f>ROUND(5.6*2.1*0,0)</f>
        <v>0</v>
      </c>
      <c r="DU16" s="666">
        <v>0</v>
      </c>
      <c r="DV16" s="546">
        <f>ROUND(5.6*2.1*0,0)</f>
        <v>0</v>
      </c>
      <c r="DW16" s="666">
        <v>0</v>
      </c>
      <c r="DX16" s="546">
        <f>ROUND(5.6*2.1*0,0)</f>
        <v>0</v>
      </c>
      <c r="DY16" s="666">
        <v>0</v>
      </c>
      <c r="DZ16" s="546">
        <f>ROUND(5.6*2.1*0,0)</f>
        <v>0</v>
      </c>
      <c r="EA16" s="666">
        <v>0</v>
      </c>
      <c r="EB16" s="546">
        <f>ROUND(5.6*2.1*0,0)</f>
        <v>0</v>
      </c>
      <c r="EC16" s="666">
        <v>0.80000000000000104</v>
      </c>
      <c r="ED16" s="546">
        <f>ROUND(5.6*2.1*0.800000000000001,0)</f>
        <v>9</v>
      </c>
      <c r="EE16" s="666">
        <v>2.1</v>
      </c>
      <c r="EF16" s="546">
        <f>ROUND(5.6*2.1*2.1,0)</f>
        <v>25</v>
      </c>
      <c r="EG16" s="666">
        <v>2.9</v>
      </c>
      <c r="EH16" s="546">
        <f>ROUND(5.6*2.1*2.9,0)</f>
        <v>34</v>
      </c>
      <c r="EI16" s="666">
        <v>3.6</v>
      </c>
      <c r="EJ16" s="546">
        <f>ROUND(5.6*2.1*3.6,0)</f>
        <v>42</v>
      </c>
      <c r="EK16" s="666">
        <v>3.8</v>
      </c>
      <c r="EL16" s="546">
        <f>ROUND(5.6*2.1*3.8,0)</f>
        <v>45</v>
      </c>
      <c r="EM16" s="666">
        <v>3.5</v>
      </c>
      <c r="EN16" s="546">
        <f>ROUND(5.6*2.1*3.5,0)</f>
        <v>41</v>
      </c>
      <c r="EO16" s="666">
        <v>3.1</v>
      </c>
      <c r="EP16" s="546">
        <f>ROUND(5.6*2.1*3.1,0)</f>
        <v>36</v>
      </c>
      <c r="EQ16" s="666">
        <v>2.7</v>
      </c>
      <c r="ER16" s="546">
        <f>ROUND(5.6*2.1*2.7,0)</f>
        <v>32</v>
      </c>
      <c r="ES16" s="666">
        <v>1.7</v>
      </c>
      <c r="ET16" s="546">
        <f>ROUND(5.6*2.1*1.7,0)</f>
        <v>20</v>
      </c>
      <c r="EU16" s="666">
        <v>0.69999999999999896</v>
      </c>
      <c r="EV16" s="546">
        <f>ROUND(5.6*2.1*0.699999999999999,0)</f>
        <v>8</v>
      </c>
      <c r="EW16" s="666">
        <v>0</v>
      </c>
      <c r="EX16" s="546">
        <f>ROUND(5.6*2.1*0,0)</f>
        <v>0</v>
      </c>
      <c r="EY16" s="666">
        <v>0</v>
      </c>
      <c r="EZ16" s="546">
        <f>ROUND(5.6*2.1*0,0)</f>
        <v>0</v>
      </c>
      <c r="FA16" s="666">
        <v>0</v>
      </c>
      <c r="FB16" s="546">
        <f>ROUND(5.6*2.1*0,0)</f>
        <v>0</v>
      </c>
      <c r="FC16" s="666">
        <v>0</v>
      </c>
      <c r="FD16" s="546">
        <f>ROUND(5.6*2.1*0,0)</f>
        <v>0</v>
      </c>
      <c r="FE16" s="666">
        <v>0</v>
      </c>
      <c r="FF16" s="546">
        <f>ROUND(5.6*2.1*0,0)</f>
        <v>0</v>
      </c>
      <c r="FG16" s="666">
        <v>0</v>
      </c>
      <c r="FH16" s="667">
        <f>ROUND(5.6*2.1*0,0)</f>
        <v>0</v>
      </c>
      <c r="FI16" s="550"/>
      <c r="FJ16" s="551"/>
      <c r="FK16" s="541" t="s">
        <v>229</v>
      </c>
      <c r="FL16" s="662" t="s">
        <v>77</v>
      </c>
      <c r="FM16" s="542">
        <v>5.6</v>
      </c>
      <c r="FN16" s="663" t="s">
        <v>325</v>
      </c>
      <c r="FO16" s="664"/>
      <c r="FP16" s="668">
        <v>9</v>
      </c>
      <c r="FQ16" s="669">
        <v>17</v>
      </c>
      <c r="FR16" s="546">
        <f>ROUND(5.6*2.1*17,0)</f>
        <v>200</v>
      </c>
      <c r="FS16" s="670">
        <v>9</v>
      </c>
      <c r="FT16" s="669">
        <v>17.5</v>
      </c>
      <c r="FU16" s="554">
        <f>ROUND(5.6*2.1*17.5,0)</f>
        <v>206</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77</v>
      </c>
      <c r="D17" s="570">
        <v>9.4</v>
      </c>
      <c r="E17" s="675">
        <v>0.9</v>
      </c>
      <c r="F17" s="676"/>
      <c r="G17" s="677">
        <v>0</v>
      </c>
      <c r="H17" s="574">
        <f>ROUND(9.4*0.9*0,0)</f>
        <v>0</v>
      </c>
      <c r="I17" s="678">
        <v>0</v>
      </c>
      <c r="J17" s="574">
        <f>ROUND(9.4*0.9*0,0)</f>
        <v>0</v>
      </c>
      <c r="K17" s="678">
        <v>0</v>
      </c>
      <c r="L17" s="574">
        <f>ROUND(9.4*0.9*0,0)</f>
        <v>0</v>
      </c>
      <c r="M17" s="678">
        <v>0</v>
      </c>
      <c r="N17" s="574">
        <f>ROUND(9.4*0.9*0,0)</f>
        <v>0</v>
      </c>
      <c r="O17" s="678">
        <v>0</v>
      </c>
      <c r="P17" s="574">
        <f>ROUND(9.4*0.9*0,0)</f>
        <v>0</v>
      </c>
      <c r="Q17" s="678">
        <v>0</v>
      </c>
      <c r="R17" s="574">
        <f>ROUND(9.4*0.9*0,0)</f>
        <v>0</v>
      </c>
      <c r="S17" s="678">
        <v>0</v>
      </c>
      <c r="T17" s="574">
        <f>ROUND(9.4*0.9*0,0)</f>
        <v>0</v>
      </c>
      <c r="U17" s="678">
        <v>0</v>
      </c>
      <c r="V17" s="574">
        <f>ROUND(9.4*0.9*0,0)</f>
        <v>0</v>
      </c>
      <c r="W17" s="678">
        <v>1.5</v>
      </c>
      <c r="X17" s="574">
        <f>ROUND(9.4*0.9*1.5,0)</f>
        <v>13</v>
      </c>
      <c r="Y17" s="678">
        <v>2.2999999999999998</v>
      </c>
      <c r="Z17" s="574">
        <f>ROUND(9.4*0.9*2.3,0)</f>
        <v>19</v>
      </c>
      <c r="AA17" s="678">
        <v>3.6</v>
      </c>
      <c r="AB17" s="574">
        <f>ROUND(9.4*0.9*3.6,0)</f>
        <v>30</v>
      </c>
      <c r="AC17" s="678">
        <v>5</v>
      </c>
      <c r="AD17" s="574">
        <f>ROUND(9.4*0.9*5,0)</f>
        <v>42</v>
      </c>
      <c r="AE17" s="678">
        <v>6.5</v>
      </c>
      <c r="AF17" s="574">
        <f>ROUND(9.4*0.9*6.5,0)</f>
        <v>55</v>
      </c>
      <c r="AG17" s="678">
        <v>7.8</v>
      </c>
      <c r="AH17" s="574">
        <f>ROUND(9.4*0.9*7.8,0)</f>
        <v>66</v>
      </c>
      <c r="AI17" s="678">
        <v>8.8000000000000007</v>
      </c>
      <c r="AJ17" s="574">
        <f>ROUND(9.4*0.9*8.8,0)</f>
        <v>74</v>
      </c>
      <c r="AK17" s="678">
        <v>9.3000000000000007</v>
      </c>
      <c r="AL17" s="574">
        <f>ROUND(9.4*0.9*9.3,0)</f>
        <v>79</v>
      </c>
      <c r="AM17" s="678">
        <v>9.3000000000000007</v>
      </c>
      <c r="AN17" s="574">
        <f>ROUND(9.4*0.9*9.3,0)</f>
        <v>79</v>
      </c>
      <c r="AO17" s="678">
        <v>9</v>
      </c>
      <c r="AP17" s="574">
        <f>ROUND(9.4*0.9*9,0)</f>
        <v>76</v>
      </c>
      <c r="AQ17" s="678">
        <v>0</v>
      </c>
      <c r="AR17" s="574">
        <f>ROUND(9.4*0.9*0,0)</f>
        <v>0</v>
      </c>
      <c r="AS17" s="678">
        <v>0</v>
      </c>
      <c r="AT17" s="574">
        <f>ROUND(9.4*0.9*0,0)</f>
        <v>0</v>
      </c>
      <c r="AU17" s="678">
        <v>0</v>
      </c>
      <c r="AV17" s="574">
        <f>ROUND(9.4*0.9*0,0)</f>
        <v>0</v>
      </c>
      <c r="AW17" s="678">
        <v>0</v>
      </c>
      <c r="AX17" s="574">
        <f>ROUND(9.4*0.9*0,0)</f>
        <v>0</v>
      </c>
      <c r="AY17" s="678">
        <v>0</v>
      </c>
      <c r="AZ17" s="574">
        <f>ROUND(9.4*0.9*0,0)</f>
        <v>0</v>
      </c>
      <c r="BA17" s="678">
        <v>0</v>
      </c>
      <c r="BB17" s="576">
        <f>ROUND(9.4*0.9*0,0)</f>
        <v>0</v>
      </c>
      <c r="BC17" s="549"/>
      <c r="BD17" s="539"/>
      <c r="BE17" s="569" t="s">
        <v>213</v>
      </c>
      <c r="BF17" s="674" t="s">
        <v>77</v>
      </c>
      <c r="BG17" s="570">
        <v>9.4</v>
      </c>
      <c r="BH17" s="675">
        <v>0.9</v>
      </c>
      <c r="BI17" s="676"/>
      <c r="BJ17" s="677">
        <v>0</v>
      </c>
      <c r="BK17" s="574">
        <f>ROUND(9.4*0.9*0,0)</f>
        <v>0</v>
      </c>
      <c r="BL17" s="678">
        <v>0</v>
      </c>
      <c r="BM17" s="574">
        <f>ROUND(9.4*0.9*0,0)</f>
        <v>0</v>
      </c>
      <c r="BN17" s="678">
        <v>0</v>
      </c>
      <c r="BO17" s="574">
        <f>ROUND(9.4*0.9*0,0)</f>
        <v>0</v>
      </c>
      <c r="BP17" s="678">
        <v>0</v>
      </c>
      <c r="BQ17" s="574">
        <f>ROUND(9.4*0.9*0,0)</f>
        <v>0</v>
      </c>
      <c r="BR17" s="678">
        <v>0</v>
      </c>
      <c r="BS17" s="574">
        <f>ROUND(9.4*0.9*0,0)</f>
        <v>0</v>
      </c>
      <c r="BT17" s="678">
        <v>0</v>
      </c>
      <c r="BU17" s="574">
        <f>ROUND(9.4*0.9*0,0)</f>
        <v>0</v>
      </c>
      <c r="BV17" s="678">
        <v>0</v>
      </c>
      <c r="BW17" s="574">
        <f>ROUND(9.4*0.9*0,0)</f>
        <v>0</v>
      </c>
      <c r="BX17" s="678">
        <v>0</v>
      </c>
      <c r="BY17" s="574">
        <f>ROUND(9.4*0.9*0,0)</f>
        <v>0</v>
      </c>
      <c r="BZ17" s="678">
        <v>0.9</v>
      </c>
      <c r="CA17" s="574">
        <f>ROUND(9.4*0.9*0.9,0)</f>
        <v>8</v>
      </c>
      <c r="CB17" s="678">
        <v>1.9</v>
      </c>
      <c r="CC17" s="574">
        <f>ROUND(9.4*0.9*1.9,0)</f>
        <v>16</v>
      </c>
      <c r="CD17" s="678">
        <v>3.4</v>
      </c>
      <c r="CE17" s="574">
        <f>ROUND(9.4*0.9*3.4,0)</f>
        <v>29</v>
      </c>
      <c r="CF17" s="678">
        <v>5.0999999999999996</v>
      </c>
      <c r="CG17" s="574">
        <f>ROUND(9.4*0.9*5.1,0)</f>
        <v>43</v>
      </c>
      <c r="CH17" s="678">
        <v>6.8</v>
      </c>
      <c r="CI17" s="574">
        <f>ROUND(9.4*0.9*6.8,0)</f>
        <v>58</v>
      </c>
      <c r="CJ17" s="678">
        <v>8.1999999999999993</v>
      </c>
      <c r="CK17" s="574">
        <f>ROUND(9.4*0.9*8.2,0)</f>
        <v>69</v>
      </c>
      <c r="CL17" s="678">
        <v>9.1999999999999993</v>
      </c>
      <c r="CM17" s="574">
        <f>ROUND(9.4*0.9*9.2,0)</f>
        <v>78</v>
      </c>
      <c r="CN17" s="678">
        <v>9.6</v>
      </c>
      <c r="CO17" s="574">
        <f>ROUND(9.4*0.9*9.6,0)</f>
        <v>81</v>
      </c>
      <c r="CP17" s="678">
        <v>9.5</v>
      </c>
      <c r="CQ17" s="574">
        <f>ROUND(9.4*0.9*9.5,0)</f>
        <v>80</v>
      </c>
      <c r="CR17" s="678">
        <v>9</v>
      </c>
      <c r="CS17" s="574">
        <f>ROUND(9.4*0.9*9,0)</f>
        <v>76</v>
      </c>
      <c r="CT17" s="678">
        <v>0</v>
      </c>
      <c r="CU17" s="574">
        <f>ROUND(9.4*0.9*0,0)</f>
        <v>0</v>
      </c>
      <c r="CV17" s="678">
        <v>0</v>
      </c>
      <c r="CW17" s="574">
        <f>ROUND(9.4*0.9*0,0)</f>
        <v>0</v>
      </c>
      <c r="CX17" s="678">
        <v>0</v>
      </c>
      <c r="CY17" s="574">
        <f>ROUND(9.4*0.9*0,0)</f>
        <v>0</v>
      </c>
      <c r="CZ17" s="678">
        <v>0</v>
      </c>
      <c r="DA17" s="574">
        <f>ROUND(9.4*0.9*0,0)</f>
        <v>0</v>
      </c>
      <c r="DB17" s="678">
        <v>0</v>
      </c>
      <c r="DC17" s="574">
        <f>ROUND(9.4*0.9*0,0)</f>
        <v>0</v>
      </c>
      <c r="DD17" s="678">
        <v>0</v>
      </c>
      <c r="DE17" s="576">
        <f>ROUND(9.4*0.9*0,0)</f>
        <v>0</v>
      </c>
      <c r="DF17" s="549"/>
      <c r="DG17" s="539"/>
      <c r="DH17" s="569" t="s">
        <v>213</v>
      </c>
      <c r="DI17" s="674" t="s">
        <v>77</v>
      </c>
      <c r="DJ17" s="570">
        <v>9.4</v>
      </c>
      <c r="DK17" s="675">
        <v>0.9</v>
      </c>
      <c r="DL17" s="676"/>
      <c r="DM17" s="677">
        <v>0</v>
      </c>
      <c r="DN17" s="574">
        <f>ROUND(9.4*0.9*0,0)</f>
        <v>0</v>
      </c>
      <c r="DO17" s="678">
        <v>0</v>
      </c>
      <c r="DP17" s="574">
        <f>ROUND(9.4*0.9*0,0)</f>
        <v>0</v>
      </c>
      <c r="DQ17" s="678">
        <v>0</v>
      </c>
      <c r="DR17" s="574">
        <f>ROUND(9.4*0.9*0,0)</f>
        <v>0</v>
      </c>
      <c r="DS17" s="678">
        <v>0</v>
      </c>
      <c r="DT17" s="574">
        <f>ROUND(9.4*0.9*0,0)</f>
        <v>0</v>
      </c>
      <c r="DU17" s="678">
        <v>0</v>
      </c>
      <c r="DV17" s="574">
        <f>ROUND(9.4*0.9*0,0)</f>
        <v>0</v>
      </c>
      <c r="DW17" s="678">
        <v>0</v>
      </c>
      <c r="DX17" s="574">
        <f>ROUND(9.4*0.9*0,0)</f>
        <v>0</v>
      </c>
      <c r="DY17" s="678">
        <v>0</v>
      </c>
      <c r="DZ17" s="574">
        <f>ROUND(9.4*0.9*0,0)</f>
        <v>0</v>
      </c>
      <c r="EA17" s="678">
        <v>0</v>
      </c>
      <c r="EB17" s="574">
        <f>ROUND(9.4*0.9*0,0)</f>
        <v>0</v>
      </c>
      <c r="EC17" s="678">
        <v>0</v>
      </c>
      <c r="ED17" s="574">
        <f>ROUND(9.4*0.9*0,0)</f>
        <v>0</v>
      </c>
      <c r="EE17" s="678">
        <v>1.4</v>
      </c>
      <c r="EF17" s="574">
        <f>ROUND(9.4*0.9*1.4,0)</f>
        <v>12</v>
      </c>
      <c r="EG17" s="678">
        <v>3.4</v>
      </c>
      <c r="EH17" s="574">
        <f>ROUND(9.4*0.9*3.4,0)</f>
        <v>29</v>
      </c>
      <c r="EI17" s="678">
        <v>5.7</v>
      </c>
      <c r="EJ17" s="574">
        <f>ROUND(9.4*0.9*5.7,0)</f>
        <v>48</v>
      </c>
      <c r="EK17" s="678">
        <v>8</v>
      </c>
      <c r="EL17" s="574">
        <f>ROUND(9.4*0.9*8,0)</f>
        <v>68</v>
      </c>
      <c r="EM17" s="678">
        <v>9.8000000000000007</v>
      </c>
      <c r="EN17" s="574">
        <f>ROUND(9.4*0.9*9.8,0)</f>
        <v>83</v>
      </c>
      <c r="EO17" s="678">
        <v>11.1</v>
      </c>
      <c r="EP17" s="574">
        <f>ROUND(9.4*0.9*11.1,0)</f>
        <v>94</v>
      </c>
      <c r="EQ17" s="678">
        <v>11.6</v>
      </c>
      <c r="ER17" s="574">
        <f>ROUND(9.4*0.9*11.6,0)</f>
        <v>98</v>
      </c>
      <c r="ES17" s="678">
        <v>11.3</v>
      </c>
      <c r="ET17" s="574">
        <f>ROUND(9.4*0.9*11.3,0)</f>
        <v>96</v>
      </c>
      <c r="EU17" s="678">
        <v>10.4</v>
      </c>
      <c r="EV17" s="574">
        <f>ROUND(9.4*0.9*10.4,0)</f>
        <v>88</v>
      </c>
      <c r="EW17" s="678">
        <v>0</v>
      </c>
      <c r="EX17" s="574">
        <f>ROUND(9.4*0.9*0,0)</f>
        <v>0</v>
      </c>
      <c r="EY17" s="678">
        <v>0</v>
      </c>
      <c r="EZ17" s="574">
        <f>ROUND(9.4*0.9*0,0)</f>
        <v>0</v>
      </c>
      <c r="FA17" s="678">
        <v>0</v>
      </c>
      <c r="FB17" s="574">
        <f>ROUND(9.4*0.9*0,0)</f>
        <v>0</v>
      </c>
      <c r="FC17" s="678">
        <v>0</v>
      </c>
      <c r="FD17" s="574">
        <f>ROUND(9.4*0.9*0,0)</f>
        <v>0</v>
      </c>
      <c r="FE17" s="678">
        <v>0</v>
      </c>
      <c r="FF17" s="574">
        <f>ROUND(9.4*0.9*0,0)</f>
        <v>0</v>
      </c>
      <c r="FG17" s="678">
        <v>0</v>
      </c>
      <c r="FH17" s="576">
        <f>ROUND(9.4*0.9*0,0)</f>
        <v>0</v>
      </c>
      <c r="FI17" s="550"/>
      <c r="FJ17" s="551"/>
      <c r="FK17" s="569" t="s">
        <v>213</v>
      </c>
      <c r="FL17" s="674" t="s">
        <v>77</v>
      </c>
      <c r="FM17" s="570">
        <v>9.4</v>
      </c>
      <c r="FN17" s="675">
        <v>0.9</v>
      </c>
      <c r="FO17" s="676"/>
      <c r="FP17" s="679">
        <v>9</v>
      </c>
      <c r="FQ17" s="680">
        <v>17</v>
      </c>
      <c r="FR17" s="574">
        <f>ROUND(9.4*0.9*17,0)</f>
        <v>144</v>
      </c>
      <c r="FS17" s="681">
        <v>9</v>
      </c>
      <c r="FT17" s="680">
        <v>17.5</v>
      </c>
      <c r="FU17" s="579">
        <f>ROUND(9.4*0.9*17.5,0)</f>
        <v>148</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t="s">
        <v>213</v>
      </c>
      <c r="C18" s="674" t="s">
        <v>75</v>
      </c>
      <c r="D18" s="570">
        <v>28.13</v>
      </c>
      <c r="E18" s="675">
        <v>0.9</v>
      </c>
      <c r="F18" s="676"/>
      <c r="G18" s="677">
        <v>0</v>
      </c>
      <c r="H18" s="574">
        <f>ROUND(28.13*0.9*0,0)</f>
        <v>0</v>
      </c>
      <c r="I18" s="678">
        <v>0</v>
      </c>
      <c r="J18" s="574">
        <f>ROUND(28.13*0.9*0,0)</f>
        <v>0</v>
      </c>
      <c r="K18" s="678">
        <v>0</v>
      </c>
      <c r="L18" s="574">
        <f>ROUND(28.13*0.9*0,0)</f>
        <v>0</v>
      </c>
      <c r="M18" s="678">
        <v>0</v>
      </c>
      <c r="N18" s="574">
        <f>ROUND(28.13*0.9*0,0)</f>
        <v>0</v>
      </c>
      <c r="O18" s="678">
        <v>0</v>
      </c>
      <c r="P18" s="574">
        <f>ROUND(28.13*0.9*0,0)</f>
        <v>0</v>
      </c>
      <c r="Q18" s="678">
        <v>0</v>
      </c>
      <c r="R18" s="574">
        <f>ROUND(28.13*0.9*0,0)</f>
        <v>0</v>
      </c>
      <c r="S18" s="678">
        <v>0</v>
      </c>
      <c r="T18" s="574">
        <f>ROUND(28.13*0.9*0,0)</f>
        <v>0</v>
      </c>
      <c r="U18" s="678">
        <v>0</v>
      </c>
      <c r="V18" s="574">
        <f>ROUND(28.13*0.9*0,0)</f>
        <v>0</v>
      </c>
      <c r="W18" s="678">
        <v>3.6</v>
      </c>
      <c r="X18" s="574">
        <f>ROUND(28.13*0.9*3.6,0)</f>
        <v>91</v>
      </c>
      <c r="Y18" s="678">
        <v>5.3</v>
      </c>
      <c r="Z18" s="574">
        <f>ROUND(28.13*0.9*5.3,0)</f>
        <v>134</v>
      </c>
      <c r="AA18" s="678">
        <v>6.9</v>
      </c>
      <c r="AB18" s="574">
        <f>ROUND(28.13*0.9*6.9,0)</f>
        <v>175</v>
      </c>
      <c r="AC18" s="678">
        <v>8</v>
      </c>
      <c r="AD18" s="574">
        <f>ROUND(28.13*0.9*8,0)</f>
        <v>203</v>
      </c>
      <c r="AE18" s="678">
        <v>8.6999999999999993</v>
      </c>
      <c r="AF18" s="574">
        <f>ROUND(28.13*0.9*8.7,0)</f>
        <v>220</v>
      </c>
      <c r="AG18" s="678">
        <v>9</v>
      </c>
      <c r="AH18" s="574">
        <f>ROUND(28.13*0.9*9,0)</f>
        <v>228</v>
      </c>
      <c r="AI18" s="678">
        <v>9.1</v>
      </c>
      <c r="AJ18" s="574">
        <f>ROUND(28.13*0.9*9.1,0)</f>
        <v>230</v>
      </c>
      <c r="AK18" s="678">
        <v>9.1</v>
      </c>
      <c r="AL18" s="574">
        <f>ROUND(28.13*0.9*9.1,0)</f>
        <v>230</v>
      </c>
      <c r="AM18" s="678">
        <v>8.9</v>
      </c>
      <c r="AN18" s="574">
        <f>ROUND(28.13*0.9*8.9,0)</f>
        <v>225</v>
      </c>
      <c r="AO18" s="678">
        <v>8.6</v>
      </c>
      <c r="AP18" s="574">
        <f>ROUND(28.13*0.9*8.6,0)</f>
        <v>218</v>
      </c>
      <c r="AQ18" s="678">
        <v>0</v>
      </c>
      <c r="AR18" s="574">
        <f>ROUND(28.13*0.9*0,0)</f>
        <v>0</v>
      </c>
      <c r="AS18" s="678">
        <v>0</v>
      </c>
      <c r="AT18" s="574">
        <f>ROUND(28.13*0.9*0,0)</f>
        <v>0</v>
      </c>
      <c r="AU18" s="678">
        <v>0</v>
      </c>
      <c r="AV18" s="574">
        <f>ROUND(28.13*0.9*0,0)</f>
        <v>0</v>
      </c>
      <c r="AW18" s="678">
        <v>0</v>
      </c>
      <c r="AX18" s="574">
        <f>ROUND(28.13*0.9*0,0)</f>
        <v>0</v>
      </c>
      <c r="AY18" s="678">
        <v>0</v>
      </c>
      <c r="AZ18" s="574">
        <f>ROUND(28.13*0.9*0,0)</f>
        <v>0</v>
      </c>
      <c r="BA18" s="678">
        <v>0</v>
      </c>
      <c r="BB18" s="576">
        <f>ROUND(28.13*0.9*0,0)</f>
        <v>0</v>
      </c>
      <c r="BC18" s="549"/>
      <c r="BD18" s="539"/>
      <c r="BE18" s="683" t="s">
        <v>213</v>
      </c>
      <c r="BF18" s="674" t="s">
        <v>75</v>
      </c>
      <c r="BG18" s="570">
        <v>28.13</v>
      </c>
      <c r="BH18" s="675">
        <v>0.9</v>
      </c>
      <c r="BI18" s="676"/>
      <c r="BJ18" s="677">
        <v>0</v>
      </c>
      <c r="BK18" s="574">
        <f>ROUND(28.13*0.9*0,0)</f>
        <v>0</v>
      </c>
      <c r="BL18" s="678">
        <v>0</v>
      </c>
      <c r="BM18" s="574">
        <f>ROUND(28.13*0.9*0,0)</f>
        <v>0</v>
      </c>
      <c r="BN18" s="678">
        <v>0</v>
      </c>
      <c r="BO18" s="574">
        <f>ROUND(28.13*0.9*0,0)</f>
        <v>0</v>
      </c>
      <c r="BP18" s="678">
        <v>0</v>
      </c>
      <c r="BQ18" s="574">
        <f>ROUND(28.13*0.9*0,0)</f>
        <v>0</v>
      </c>
      <c r="BR18" s="678">
        <v>0</v>
      </c>
      <c r="BS18" s="574">
        <f>ROUND(28.13*0.9*0,0)</f>
        <v>0</v>
      </c>
      <c r="BT18" s="678">
        <v>0</v>
      </c>
      <c r="BU18" s="574">
        <f>ROUND(28.13*0.9*0,0)</f>
        <v>0</v>
      </c>
      <c r="BV18" s="678">
        <v>0</v>
      </c>
      <c r="BW18" s="574">
        <f>ROUND(28.13*0.9*0,0)</f>
        <v>0</v>
      </c>
      <c r="BX18" s="678">
        <v>0</v>
      </c>
      <c r="BY18" s="574">
        <f>ROUND(28.13*0.9*0,0)</f>
        <v>0</v>
      </c>
      <c r="BZ18" s="678">
        <v>5.8</v>
      </c>
      <c r="CA18" s="574">
        <f>ROUND(28.13*0.9*5.8,0)</f>
        <v>147</v>
      </c>
      <c r="CB18" s="678">
        <v>8.3000000000000007</v>
      </c>
      <c r="CC18" s="574">
        <f>ROUND(28.13*0.9*8.3,0)</f>
        <v>210</v>
      </c>
      <c r="CD18" s="678">
        <v>10.199999999999999</v>
      </c>
      <c r="CE18" s="574">
        <f>ROUND(28.13*0.9*10.2,0)</f>
        <v>258</v>
      </c>
      <c r="CF18" s="678">
        <v>11.3</v>
      </c>
      <c r="CG18" s="574">
        <f>ROUND(28.13*0.9*11.3,0)</f>
        <v>286</v>
      </c>
      <c r="CH18" s="678">
        <v>11.4</v>
      </c>
      <c r="CI18" s="574">
        <f>ROUND(28.13*0.9*11.4,0)</f>
        <v>289</v>
      </c>
      <c r="CJ18" s="678">
        <v>11</v>
      </c>
      <c r="CK18" s="574">
        <f>ROUND(28.13*0.9*11,0)</f>
        <v>278</v>
      </c>
      <c r="CL18" s="678">
        <v>10.4</v>
      </c>
      <c r="CM18" s="574">
        <f>ROUND(28.13*0.9*10.4,0)</f>
        <v>263</v>
      </c>
      <c r="CN18" s="678">
        <v>9.9</v>
      </c>
      <c r="CO18" s="574">
        <f>ROUND(28.13*0.9*9.9,0)</f>
        <v>251</v>
      </c>
      <c r="CP18" s="678">
        <v>9.4</v>
      </c>
      <c r="CQ18" s="574">
        <f>ROUND(28.13*0.9*9.4,0)</f>
        <v>238</v>
      </c>
      <c r="CR18" s="678">
        <v>8.8000000000000007</v>
      </c>
      <c r="CS18" s="574">
        <f>ROUND(28.13*0.9*8.8,0)</f>
        <v>223</v>
      </c>
      <c r="CT18" s="678">
        <v>0</v>
      </c>
      <c r="CU18" s="574">
        <f>ROUND(28.13*0.9*0,0)</f>
        <v>0</v>
      </c>
      <c r="CV18" s="678">
        <v>0</v>
      </c>
      <c r="CW18" s="574">
        <f>ROUND(28.13*0.9*0,0)</f>
        <v>0</v>
      </c>
      <c r="CX18" s="678">
        <v>0</v>
      </c>
      <c r="CY18" s="574">
        <f>ROUND(28.13*0.9*0,0)</f>
        <v>0</v>
      </c>
      <c r="CZ18" s="678">
        <v>0</v>
      </c>
      <c r="DA18" s="574">
        <f>ROUND(28.13*0.9*0,0)</f>
        <v>0</v>
      </c>
      <c r="DB18" s="678">
        <v>0</v>
      </c>
      <c r="DC18" s="574">
        <f>ROUND(28.13*0.9*0,0)</f>
        <v>0</v>
      </c>
      <c r="DD18" s="678">
        <v>0</v>
      </c>
      <c r="DE18" s="576">
        <f>ROUND(28.13*0.9*0,0)</f>
        <v>0</v>
      </c>
      <c r="DF18" s="549"/>
      <c r="DG18" s="539"/>
      <c r="DH18" s="683" t="s">
        <v>213</v>
      </c>
      <c r="DI18" s="674" t="s">
        <v>75</v>
      </c>
      <c r="DJ18" s="570">
        <v>28.13</v>
      </c>
      <c r="DK18" s="675">
        <v>0.9</v>
      </c>
      <c r="DL18" s="676"/>
      <c r="DM18" s="677">
        <v>0</v>
      </c>
      <c r="DN18" s="574">
        <f>ROUND(28.13*0.9*0,0)</f>
        <v>0</v>
      </c>
      <c r="DO18" s="678">
        <v>0</v>
      </c>
      <c r="DP18" s="574">
        <f>ROUND(28.13*0.9*0,0)</f>
        <v>0</v>
      </c>
      <c r="DQ18" s="678">
        <v>0</v>
      </c>
      <c r="DR18" s="574">
        <f>ROUND(28.13*0.9*0,0)</f>
        <v>0</v>
      </c>
      <c r="DS18" s="678">
        <v>0</v>
      </c>
      <c r="DT18" s="574">
        <f>ROUND(28.13*0.9*0,0)</f>
        <v>0</v>
      </c>
      <c r="DU18" s="678">
        <v>0</v>
      </c>
      <c r="DV18" s="574">
        <f>ROUND(28.13*0.9*0,0)</f>
        <v>0</v>
      </c>
      <c r="DW18" s="678">
        <v>0</v>
      </c>
      <c r="DX18" s="574">
        <f>ROUND(28.13*0.9*0,0)</f>
        <v>0</v>
      </c>
      <c r="DY18" s="678">
        <v>0</v>
      </c>
      <c r="DZ18" s="574">
        <f>ROUND(28.13*0.9*0,0)</f>
        <v>0</v>
      </c>
      <c r="EA18" s="678">
        <v>0</v>
      </c>
      <c r="EB18" s="574">
        <f>ROUND(28.13*0.9*0,0)</f>
        <v>0</v>
      </c>
      <c r="EC18" s="678">
        <v>2.8</v>
      </c>
      <c r="ED18" s="574">
        <f>ROUND(28.13*0.9*2.8,0)</f>
        <v>71</v>
      </c>
      <c r="EE18" s="678">
        <v>5.2</v>
      </c>
      <c r="EF18" s="574">
        <f>ROUND(28.13*0.9*5.2,0)</f>
        <v>132</v>
      </c>
      <c r="EG18" s="678">
        <v>7</v>
      </c>
      <c r="EH18" s="574">
        <f>ROUND(28.13*0.9*7,0)</f>
        <v>177</v>
      </c>
      <c r="EI18" s="678">
        <v>8</v>
      </c>
      <c r="EJ18" s="574">
        <f>ROUND(28.13*0.9*8,0)</f>
        <v>203</v>
      </c>
      <c r="EK18" s="678">
        <v>8.1999999999999993</v>
      </c>
      <c r="EL18" s="574">
        <f>ROUND(28.13*0.9*8.2,0)</f>
        <v>208</v>
      </c>
      <c r="EM18" s="678">
        <v>7.9</v>
      </c>
      <c r="EN18" s="574">
        <f>ROUND(28.13*0.9*7.9,0)</f>
        <v>200</v>
      </c>
      <c r="EO18" s="678">
        <v>7.6</v>
      </c>
      <c r="EP18" s="574">
        <f>ROUND(28.13*0.9*7.6,0)</f>
        <v>192</v>
      </c>
      <c r="EQ18" s="678">
        <v>7.2</v>
      </c>
      <c r="ER18" s="574">
        <f>ROUND(28.13*0.9*7.2,0)</f>
        <v>182</v>
      </c>
      <c r="ES18" s="678">
        <v>6.8</v>
      </c>
      <c r="ET18" s="574">
        <f>ROUND(28.13*0.9*6.8,0)</f>
        <v>172</v>
      </c>
      <c r="EU18" s="678">
        <v>6.2</v>
      </c>
      <c r="EV18" s="574">
        <f>ROUND(28.13*0.9*6.2,0)</f>
        <v>157</v>
      </c>
      <c r="EW18" s="678">
        <v>0</v>
      </c>
      <c r="EX18" s="574">
        <f>ROUND(28.13*0.9*0,0)</f>
        <v>0</v>
      </c>
      <c r="EY18" s="678">
        <v>0</v>
      </c>
      <c r="EZ18" s="574">
        <f>ROUND(28.13*0.9*0,0)</f>
        <v>0</v>
      </c>
      <c r="FA18" s="678">
        <v>0</v>
      </c>
      <c r="FB18" s="574">
        <f>ROUND(28.13*0.9*0,0)</f>
        <v>0</v>
      </c>
      <c r="FC18" s="678">
        <v>0</v>
      </c>
      <c r="FD18" s="574">
        <f>ROUND(28.13*0.9*0,0)</f>
        <v>0</v>
      </c>
      <c r="FE18" s="678">
        <v>0</v>
      </c>
      <c r="FF18" s="574">
        <f>ROUND(28.13*0.9*0,0)</f>
        <v>0</v>
      </c>
      <c r="FG18" s="678">
        <v>0</v>
      </c>
      <c r="FH18" s="576">
        <f>ROUND(28.13*0.9*0,0)</f>
        <v>0</v>
      </c>
      <c r="FI18" s="550"/>
      <c r="FJ18" s="551"/>
      <c r="FK18" s="683" t="s">
        <v>213</v>
      </c>
      <c r="FL18" s="674" t="s">
        <v>75</v>
      </c>
      <c r="FM18" s="570">
        <v>28.13</v>
      </c>
      <c r="FN18" s="675">
        <v>0.9</v>
      </c>
      <c r="FO18" s="676"/>
      <c r="FP18" s="679">
        <v>9</v>
      </c>
      <c r="FQ18" s="680">
        <v>17</v>
      </c>
      <c r="FR18" s="574">
        <f>ROUND(28.13*0.9*17,0)</f>
        <v>430</v>
      </c>
      <c r="FS18" s="681">
        <v>9</v>
      </c>
      <c r="FT18" s="680">
        <v>17.5</v>
      </c>
      <c r="FU18" s="579">
        <f>ROUND(28.13*0.9*17.5,0)</f>
        <v>443</v>
      </c>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t="s">
        <v>236</v>
      </c>
      <c r="C19" s="674"/>
      <c r="D19" s="570">
        <v>10.8</v>
      </c>
      <c r="E19" s="675">
        <v>2.9</v>
      </c>
      <c r="F19" s="676"/>
      <c r="G19" s="677">
        <v>0</v>
      </c>
      <c r="H19" s="574">
        <f>ROUND(10.8*2.9*0,0)</f>
        <v>0</v>
      </c>
      <c r="I19" s="678">
        <v>0</v>
      </c>
      <c r="J19" s="574">
        <f>ROUND(10.8*2.9*0,0)</f>
        <v>0</v>
      </c>
      <c r="K19" s="678">
        <v>0</v>
      </c>
      <c r="L19" s="574">
        <f>ROUND(10.8*2.9*0,0)</f>
        <v>0</v>
      </c>
      <c r="M19" s="678">
        <v>0</v>
      </c>
      <c r="N19" s="574">
        <f>ROUND(10.8*2.9*0,0)</f>
        <v>0</v>
      </c>
      <c r="O19" s="678">
        <v>0</v>
      </c>
      <c r="P19" s="574">
        <f>ROUND(10.8*2.9*0,0)</f>
        <v>0</v>
      </c>
      <c r="Q19" s="678">
        <v>0</v>
      </c>
      <c r="R19" s="574">
        <f>ROUND(10.8*2.9*0,0)</f>
        <v>0</v>
      </c>
      <c r="S19" s="678">
        <v>0</v>
      </c>
      <c r="T19" s="574">
        <f>ROUND(10.8*2.9*0,0)</f>
        <v>0</v>
      </c>
      <c r="U19" s="678">
        <v>0</v>
      </c>
      <c r="V19" s="574">
        <f>ROUND(10.8*2.9*0,0)</f>
        <v>0</v>
      </c>
      <c r="W19" s="678">
        <v>1</v>
      </c>
      <c r="X19" s="574">
        <f>ROUND(10.8*2.9*1,0)</f>
        <v>31</v>
      </c>
      <c r="Y19" s="678">
        <v>1.3</v>
      </c>
      <c r="Z19" s="574">
        <f>ROUND(10.8*2.9*1.3,0)</f>
        <v>41</v>
      </c>
      <c r="AA19" s="678">
        <v>1.6</v>
      </c>
      <c r="AB19" s="574">
        <f>ROUND(10.8*2.9*1.6,0)</f>
        <v>50</v>
      </c>
      <c r="AC19" s="678">
        <v>1.7</v>
      </c>
      <c r="AD19" s="574">
        <f>ROUND(10.8*2.9*1.7,0)</f>
        <v>53</v>
      </c>
      <c r="AE19" s="678">
        <v>1.8</v>
      </c>
      <c r="AF19" s="574">
        <f>ROUND(10.8*2.9*1.8,0)</f>
        <v>56</v>
      </c>
      <c r="AG19" s="678">
        <v>1.8</v>
      </c>
      <c r="AH19" s="574">
        <f>ROUND(10.8*2.9*1.8,0)</f>
        <v>56</v>
      </c>
      <c r="AI19" s="678">
        <v>1.6</v>
      </c>
      <c r="AJ19" s="574">
        <f>ROUND(10.8*2.9*1.6,0)</f>
        <v>50</v>
      </c>
      <c r="AK19" s="678">
        <v>1.5</v>
      </c>
      <c r="AL19" s="574">
        <f>ROUND(10.8*2.9*1.5,0)</f>
        <v>47</v>
      </c>
      <c r="AM19" s="678">
        <v>1.2</v>
      </c>
      <c r="AN19" s="574">
        <f>ROUND(10.8*2.9*1.2,0)</f>
        <v>38</v>
      </c>
      <c r="AO19" s="678">
        <v>1</v>
      </c>
      <c r="AP19" s="574">
        <f>ROUND(10.8*2.9*1,0)</f>
        <v>31</v>
      </c>
      <c r="AQ19" s="678">
        <v>0</v>
      </c>
      <c r="AR19" s="574">
        <f>ROUND(10.8*2.9*0,0)</f>
        <v>0</v>
      </c>
      <c r="AS19" s="678">
        <v>0</v>
      </c>
      <c r="AT19" s="574">
        <f>ROUND(10.8*2.9*0,0)</f>
        <v>0</v>
      </c>
      <c r="AU19" s="678">
        <v>0</v>
      </c>
      <c r="AV19" s="574">
        <f>ROUND(10.8*2.9*0,0)</f>
        <v>0</v>
      </c>
      <c r="AW19" s="678">
        <v>0</v>
      </c>
      <c r="AX19" s="574">
        <f>ROUND(10.8*2.9*0,0)</f>
        <v>0</v>
      </c>
      <c r="AY19" s="678">
        <v>0</v>
      </c>
      <c r="AZ19" s="574">
        <f>ROUND(10.8*2.9*0,0)</f>
        <v>0</v>
      </c>
      <c r="BA19" s="678">
        <v>0</v>
      </c>
      <c r="BB19" s="576">
        <f>ROUND(10.8*2.9*0,0)</f>
        <v>0</v>
      </c>
      <c r="BC19" s="549"/>
      <c r="BD19" s="539"/>
      <c r="BE19" s="683" t="s">
        <v>236</v>
      </c>
      <c r="BF19" s="674"/>
      <c r="BG19" s="570">
        <v>10.8</v>
      </c>
      <c r="BH19" s="675">
        <v>2.9</v>
      </c>
      <c r="BI19" s="676"/>
      <c r="BJ19" s="677">
        <v>0</v>
      </c>
      <c r="BK19" s="574">
        <f>ROUND(10.8*2.9*0,0)</f>
        <v>0</v>
      </c>
      <c r="BL19" s="678">
        <v>0</v>
      </c>
      <c r="BM19" s="574">
        <f>ROUND(10.8*2.9*0,0)</f>
        <v>0</v>
      </c>
      <c r="BN19" s="678">
        <v>0</v>
      </c>
      <c r="BO19" s="574">
        <f>ROUND(10.8*2.9*0,0)</f>
        <v>0</v>
      </c>
      <c r="BP19" s="678">
        <v>0</v>
      </c>
      <c r="BQ19" s="574">
        <f>ROUND(10.8*2.9*0,0)</f>
        <v>0</v>
      </c>
      <c r="BR19" s="678">
        <v>0</v>
      </c>
      <c r="BS19" s="574">
        <f>ROUND(10.8*2.9*0,0)</f>
        <v>0</v>
      </c>
      <c r="BT19" s="678">
        <v>0</v>
      </c>
      <c r="BU19" s="574">
        <f>ROUND(10.8*2.9*0,0)</f>
        <v>0</v>
      </c>
      <c r="BV19" s="678">
        <v>0</v>
      </c>
      <c r="BW19" s="574">
        <f>ROUND(10.8*2.9*0,0)</f>
        <v>0</v>
      </c>
      <c r="BX19" s="678">
        <v>0</v>
      </c>
      <c r="BY19" s="574">
        <f>ROUND(10.8*2.9*0,0)</f>
        <v>0</v>
      </c>
      <c r="BZ19" s="678">
        <v>0.9</v>
      </c>
      <c r="CA19" s="574">
        <f>ROUND(10.8*2.9*0.9,0)</f>
        <v>28</v>
      </c>
      <c r="CB19" s="678">
        <v>1.2</v>
      </c>
      <c r="CC19" s="574">
        <f>ROUND(10.8*2.9*1.2,0)</f>
        <v>38</v>
      </c>
      <c r="CD19" s="678">
        <v>1.5</v>
      </c>
      <c r="CE19" s="574">
        <f>ROUND(10.8*2.9*1.5,0)</f>
        <v>47</v>
      </c>
      <c r="CF19" s="678">
        <v>1.6</v>
      </c>
      <c r="CG19" s="574">
        <f>ROUND(10.8*2.9*1.6,0)</f>
        <v>50</v>
      </c>
      <c r="CH19" s="678">
        <v>1.7</v>
      </c>
      <c r="CI19" s="574">
        <f>ROUND(10.8*2.9*1.7,0)</f>
        <v>53</v>
      </c>
      <c r="CJ19" s="678">
        <v>1.6</v>
      </c>
      <c r="CK19" s="574">
        <f>ROUND(10.8*2.9*1.6,0)</f>
        <v>50</v>
      </c>
      <c r="CL19" s="678">
        <v>1.5</v>
      </c>
      <c r="CM19" s="574">
        <f>ROUND(10.8*2.9*1.5,0)</f>
        <v>47</v>
      </c>
      <c r="CN19" s="678">
        <v>1.3</v>
      </c>
      <c r="CO19" s="574">
        <f>ROUND(10.8*2.9*1.3,0)</f>
        <v>41</v>
      </c>
      <c r="CP19" s="678">
        <v>1.2</v>
      </c>
      <c r="CQ19" s="574">
        <f>ROUND(10.8*2.9*1.2,0)</f>
        <v>38</v>
      </c>
      <c r="CR19" s="678">
        <v>0.9</v>
      </c>
      <c r="CS19" s="574">
        <f>ROUND(10.8*2.9*0.9,0)</f>
        <v>28</v>
      </c>
      <c r="CT19" s="678">
        <v>0</v>
      </c>
      <c r="CU19" s="574">
        <f>ROUND(10.8*2.9*0,0)</f>
        <v>0</v>
      </c>
      <c r="CV19" s="678">
        <v>0</v>
      </c>
      <c r="CW19" s="574">
        <f>ROUND(10.8*2.9*0,0)</f>
        <v>0</v>
      </c>
      <c r="CX19" s="678">
        <v>0</v>
      </c>
      <c r="CY19" s="574">
        <f>ROUND(10.8*2.9*0,0)</f>
        <v>0</v>
      </c>
      <c r="CZ19" s="678">
        <v>0</v>
      </c>
      <c r="DA19" s="574">
        <f>ROUND(10.8*2.9*0,0)</f>
        <v>0</v>
      </c>
      <c r="DB19" s="678">
        <v>0</v>
      </c>
      <c r="DC19" s="574">
        <f>ROUND(10.8*2.9*0,0)</f>
        <v>0</v>
      </c>
      <c r="DD19" s="678">
        <v>0</v>
      </c>
      <c r="DE19" s="576">
        <f>ROUND(10.8*2.9*0,0)</f>
        <v>0</v>
      </c>
      <c r="DF19" s="549"/>
      <c r="DG19" s="539"/>
      <c r="DH19" s="683" t="s">
        <v>236</v>
      </c>
      <c r="DI19" s="674"/>
      <c r="DJ19" s="570">
        <v>10.8</v>
      </c>
      <c r="DK19" s="675">
        <v>2.9</v>
      </c>
      <c r="DL19" s="676"/>
      <c r="DM19" s="677">
        <v>0</v>
      </c>
      <c r="DN19" s="574">
        <f>ROUND(10.8*2.9*0,0)</f>
        <v>0</v>
      </c>
      <c r="DO19" s="678">
        <v>0</v>
      </c>
      <c r="DP19" s="574">
        <f>ROUND(10.8*2.9*0,0)</f>
        <v>0</v>
      </c>
      <c r="DQ19" s="678">
        <v>0</v>
      </c>
      <c r="DR19" s="574">
        <f>ROUND(10.8*2.9*0,0)</f>
        <v>0</v>
      </c>
      <c r="DS19" s="678">
        <v>0</v>
      </c>
      <c r="DT19" s="574">
        <f>ROUND(10.8*2.9*0,0)</f>
        <v>0</v>
      </c>
      <c r="DU19" s="678">
        <v>0</v>
      </c>
      <c r="DV19" s="574">
        <f>ROUND(10.8*2.9*0,0)</f>
        <v>0</v>
      </c>
      <c r="DW19" s="678">
        <v>0</v>
      </c>
      <c r="DX19" s="574">
        <f>ROUND(10.8*2.9*0,0)</f>
        <v>0</v>
      </c>
      <c r="DY19" s="678">
        <v>0</v>
      </c>
      <c r="DZ19" s="574">
        <f>ROUND(10.8*2.9*0,0)</f>
        <v>0</v>
      </c>
      <c r="EA19" s="678">
        <v>0</v>
      </c>
      <c r="EB19" s="574">
        <f>ROUND(10.8*2.9*0,0)</f>
        <v>0</v>
      </c>
      <c r="EC19" s="678">
        <v>0.2</v>
      </c>
      <c r="ED19" s="574">
        <f>ROUND(10.8*2.9*0.2,0)</f>
        <v>6</v>
      </c>
      <c r="EE19" s="678">
        <v>0.6</v>
      </c>
      <c r="EF19" s="574">
        <f>ROUND(10.8*2.9*0.6,0)</f>
        <v>19</v>
      </c>
      <c r="EG19" s="678">
        <v>0.9</v>
      </c>
      <c r="EH19" s="574">
        <f>ROUND(10.8*2.9*0.9,0)</f>
        <v>28</v>
      </c>
      <c r="EI19" s="678">
        <v>1.1000000000000001</v>
      </c>
      <c r="EJ19" s="574">
        <f>ROUND(10.8*2.9*1.1,0)</f>
        <v>34</v>
      </c>
      <c r="EK19" s="678">
        <v>1.1000000000000001</v>
      </c>
      <c r="EL19" s="574">
        <f>ROUND(10.8*2.9*1.1,0)</f>
        <v>34</v>
      </c>
      <c r="EM19" s="678">
        <v>1</v>
      </c>
      <c r="EN19" s="574">
        <f>ROUND(10.8*2.9*1,0)</f>
        <v>31</v>
      </c>
      <c r="EO19" s="678">
        <v>0.9</v>
      </c>
      <c r="EP19" s="574">
        <f>ROUND(10.8*2.9*0.9,0)</f>
        <v>28</v>
      </c>
      <c r="EQ19" s="678">
        <v>0.8</v>
      </c>
      <c r="ER19" s="574">
        <f>ROUND(10.8*2.9*0.8,0)</f>
        <v>25</v>
      </c>
      <c r="ES19" s="678">
        <v>0.5</v>
      </c>
      <c r="ET19" s="574">
        <f>ROUND(10.8*2.9*0.5,0)</f>
        <v>16</v>
      </c>
      <c r="EU19" s="678">
        <v>0.2</v>
      </c>
      <c r="EV19" s="574">
        <f>ROUND(10.8*2.9*0.2,0)</f>
        <v>6</v>
      </c>
      <c r="EW19" s="678">
        <v>0</v>
      </c>
      <c r="EX19" s="574">
        <f>ROUND(10.8*2.9*0,0)</f>
        <v>0</v>
      </c>
      <c r="EY19" s="678">
        <v>0</v>
      </c>
      <c r="EZ19" s="574">
        <f>ROUND(10.8*2.9*0,0)</f>
        <v>0</v>
      </c>
      <c r="FA19" s="678">
        <v>0</v>
      </c>
      <c r="FB19" s="574">
        <f>ROUND(10.8*2.9*0,0)</f>
        <v>0</v>
      </c>
      <c r="FC19" s="678">
        <v>0</v>
      </c>
      <c r="FD19" s="574">
        <f>ROUND(10.8*2.9*0,0)</f>
        <v>0</v>
      </c>
      <c r="FE19" s="678">
        <v>0</v>
      </c>
      <c r="FF19" s="574">
        <f>ROUND(10.8*2.9*0,0)</f>
        <v>0</v>
      </c>
      <c r="FG19" s="678">
        <v>0</v>
      </c>
      <c r="FH19" s="576">
        <f>ROUND(10.8*2.9*0,0)</f>
        <v>0</v>
      </c>
      <c r="FI19" s="550"/>
      <c r="FJ19" s="551"/>
      <c r="FK19" s="683" t="s">
        <v>236</v>
      </c>
      <c r="FL19" s="674"/>
      <c r="FM19" s="570">
        <v>10.8</v>
      </c>
      <c r="FN19" s="675">
        <v>2.9</v>
      </c>
      <c r="FO19" s="676"/>
      <c r="FP19" s="679">
        <v>9</v>
      </c>
      <c r="FQ19" s="680">
        <v>5.0999999999999996</v>
      </c>
      <c r="FR19" s="574">
        <f>ROUND(10.8*2.9*5.1,0)</f>
        <v>160</v>
      </c>
      <c r="FS19" s="681">
        <v>9</v>
      </c>
      <c r="FT19" s="680">
        <v>5.2</v>
      </c>
      <c r="FU19" s="579">
        <f>ROUND(10.8*2.9*5.2,0)</f>
        <v>163</v>
      </c>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5.6</v>
      </c>
      <c r="GO21" s="687"/>
      <c r="GP21" s="688"/>
      <c r="GQ21" s="620">
        <v>0</v>
      </c>
      <c r="GR21" s="621">
        <v>5.6</v>
      </c>
      <c r="GS21" s="565"/>
      <c r="GT21" s="660"/>
      <c r="GU21" s="684" t="s">
        <v>433</v>
      </c>
      <c r="GV21" s="685"/>
      <c r="GW21" s="686"/>
      <c r="GX21" s="689">
        <v>5.6</v>
      </c>
      <c r="GY21" s="690"/>
      <c r="GZ21" s="687"/>
      <c r="HA21" s="691">
        <v>3.64</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0.65</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30</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0.19</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610</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174</v>
      </c>
      <c r="Y26" s="1271"/>
      <c r="Z26" s="1264">
        <f>SUM(Z16:Z25)</f>
        <v>247</v>
      </c>
      <c r="AA26" s="1271"/>
      <c r="AB26" s="1264">
        <f>SUM(AB16:AB25)</f>
        <v>316</v>
      </c>
      <c r="AC26" s="1271"/>
      <c r="AD26" s="1264">
        <f>SUM(AD16:AD25)</f>
        <v>365</v>
      </c>
      <c r="AE26" s="1271"/>
      <c r="AF26" s="1264">
        <f>SUM(AF16:AF25)</f>
        <v>400</v>
      </c>
      <c r="AG26" s="1271"/>
      <c r="AH26" s="1264">
        <f>SUM(AH16:AH25)</f>
        <v>419</v>
      </c>
      <c r="AI26" s="1271"/>
      <c r="AJ26" s="1264">
        <f>SUM(AJ16:AJ25)</f>
        <v>418</v>
      </c>
      <c r="AK26" s="1271"/>
      <c r="AL26" s="1264">
        <f>SUM(AL16:AL25)</f>
        <v>414</v>
      </c>
      <c r="AM26" s="1271"/>
      <c r="AN26" s="1264">
        <f>SUM(AN16:AN25)</f>
        <v>389</v>
      </c>
      <c r="AO26" s="1271"/>
      <c r="AP26" s="1264">
        <f>SUM(AP16:AP25)</f>
        <v>364</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610</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219</v>
      </c>
      <c r="CB26" s="1271"/>
      <c r="CC26" s="1264">
        <f>SUM(CC16:CC25)</f>
        <v>312</v>
      </c>
      <c r="CD26" s="1271"/>
      <c r="CE26" s="1264">
        <f>SUM(CE16:CE25)</f>
        <v>393</v>
      </c>
      <c r="CF26" s="1271"/>
      <c r="CG26" s="1264">
        <f>SUM(CG16:CG25)</f>
        <v>443</v>
      </c>
      <c r="CH26" s="1271"/>
      <c r="CI26" s="1264">
        <f>SUM(CI16:CI25)</f>
        <v>466</v>
      </c>
      <c r="CJ26" s="1271"/>
      <c r="CK26" s="1264">
        <f>SUM(CK16:CK25)</f>
        <v>461</v>
      </c>
      <c r="CL26" s="1271"/>
      <c r="CM26" s="1264">
        <f>SUM(CM16:CM25)</f>
        <v>446</v>
      </c>
      <c r="CN26" s="1271"/>
      <c r="CO26" s="1264">
        <f>SUM(CO16:CO25)</f>
        <v>426</v>
      </c>
      <c r="CP26" s="1271"/>
      <c r="CQ26" s="1264">
        <f>SUM(CQ16:CQ25)</f>
        <v>403</v>
      </c>
      <c r="CR26" s="1271"/>
      <c r="CS26" s="1264">
        <f>SUM(CS16:CS25)</f>
        <v>363</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610</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86</v>
      </c>
      <c r="EE26" s="1271"/>
      <c r="EF26" s="1264">
        <f>SUM(EF16:EF25)</f>
        <v>188</v>
      </c>
      <c r="EG26" s="1271"/>
      <c r="EH26" s="1264">
        <f>SUM(EH16:EH25)</f>
        <v>268</v>
      </c>
      <c r="EI26" s="1271"/>
      <c r="EJ26" s="1264">
        <f>SUM(EJ16:EJ25)</f>
        <v>327</v>
      </c>
      <c r="EK26" s="1271"/>
      <c r="EL26" s="1264">
        <f>SUM(EL16:EL25)</f>
        <v>355</v>
      </c>
      <c r="EM26" s="1271"/>
      <c r="EN26" s="1264">
        <f>SUM(EN16:EN25)</f>
        <v>355</v>
      </c>
      <c r="EO26" s="1271"/>
      <c r="EP26" s="1264">
        <f>SUM(EP16:EP25)</f>
        <v>350</v>
      </c>
      <c r="EQ26" s="1271"/>
      <c r="ER26" s="1264">
        <f>SUM(ER16:ER25)</f>
        <v>337</v>
      </c>
      <c r="ES26" s="1271"/>
      <c r="ET26" s="1264">
        <f>SUM(ET16:ET25)</f>
        <v>304</v>
      </c>
      <c r="EU26" s="1271"/>
      <c r="EV26" s="1264">
        <f>SUM(EV16:EV25)</f>
        <v>259</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610</v>
      </c>
      <c r="FN26" s="629"/>
      <c r="FO26" s="629"/>
      <c r="FP26" s="1267"/>
      <c r="FQ26" s="638"/>
      <c r="FR26" s="1264">
        <f>SUM(FR16:FR25)</f>
        <v>934</v>
      </c>
      <c r="FS26" s="1272"/>
      <c r="FT26" s="638"/>
      <c r="FU26" s="1269">
        <f>SUM(FU16:FU25)</f>
        <v>960</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0.65</v>
      </c>
      <c r="GZ26" s="567"/>
      <c r="HA26" s="517"/>
      <c r="HB26" s="517"/>
      <c r="HC26" s="517"/>
      <c r="HD26" s="635"/>
      <c r="HE26" s="406"/>
      <c r="HF26" s="406"/>
      <c r="HG26" s="567"/>
      <c r="HH26" s="635"/>
      <c r="HI26" s="406"/>
      <c r="HJ26" s="406"/>
    </row>
    <row r="27" spans="1:218" ht="20.100000000000001" customHeight="1">
      <c r="A27" s="1273" t="s">
        <v>366</v>
      </c>
      <c r="B27" s="721"/>
      <c r="C27" s="722"/>
      <c r="D27" s="650"/>
      <c r="E27" s="722"/>
      <c r="F27" s="722"/>
      <c r="G27" s="723" t="s">
        <v>367</v>
      </c>
      <c r="H27" s="650" t="s">
        <v>368</v>
      </c>
      <c r="I27" s="724" t="s">
        <v>367</v>
      </c>
      <c r="J27" s="650" t="s">
        <v>368</v>
      </c>
      <c r="K27" s="725" t="s">
        <v>367</v>
      </c>
      <c r="L27" s="650" t="s">
        <v>368</v>
      </c>
      <c r="M27" s="725" t="s">
        <v>367</v>
      </c>
      <c r="N27" s="650" t="s">
        <v>368</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7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7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c r="E28" s="738"/>
      <c r="F28" s="739"/>
      <c r="G28" s="740"/>
      <c r="H28" s="546"/>
      <c r="I28" s="741"/>
      <c r="J28" s="546"/>
      <c r="K28" s="741"/>
      <c r="L28" s="546"/>
      <c r="M28" s="741"/>
      <c r="N28" s="546"/>
      <c r="O28" s="741"/>
      <c r="P28" s="546"/>
      <c r="Q28" s="741"/>
      <c r="R28" s="546"/>
      <c r="S28" s="741"/>
      <c r="T28" s="546"/>
      <c r="U28" s="741"/>
      <c r="V28" s="546"/>
      <c r="W28" s="741"/>
      <c r="X28" s="546">
        <v>0</v>
      </c>
      <c r="Y28" s="741"/>
      <c r="Z28" s="546">
        <v>0</v>
      </c>
      <c r="AA28" s="741"/>
      <c r="AB28" s="546">
        <v>0</v>
      </c>
      <c r="AC28" s="741"/>
      <c r="AD28" s="546">
        <v>0</v>
      </c>
      <c r="AE28" s="741"/>
      <c r="AF28" s="546">
        <v>0</v>
      </c>
      <c r="AG28" s="741"/>
      <c r="AH28" s="546">
        <v>0</v>
      </c>
      <c r="AI28" s="741"/>
      <c r="AJ28" s="546">
        <v>0</v>
      </c>
      <c r="AK28" s="741"/>
      <c r="AL28" s="546">
        <v>0</v>
      </c>
      <c r="AM28" s="741"/>
      <c r="AN28" s="546">
        <v>0</v>
      </c>
      <c r="AO28" s="741"/>
      <c r="AP28" s="546">
        <v>0</v>
      </c>
      <c r="AQ28" s="741"/>
      <c r="AR28" s="546"/>
      <c r="AS28" s="741"/>
      <c r="AT28" s="546"/>
      <c r="AU28" s="741"/>
      <c r="AV28" s="546"/>
      <c r="AW28" s="741"/>
      <c r="AX28" s="546"/>
      <c r="AY28" s="741"/>
      <c r="AZ28" s="546"/>
      <c r="BA28" s="741"/>
      <c r="BB28" s="667"/>
      <c r="BC28" s="549"/>
      <c r="BD28" s="539"/>
      <c r="BE28" s="735" t="s">
        <v>372</v>
      </c>
      <c r="BF28" s="736"/>
      <c r="BG28" s="737">
        <v>0</v>
      </c>
      <c r="BH28" s="738">
        <v>0</v>
      </c>
      <c r="BI28" s="739"/>
      <c r="BJ28" s="740"/>
      <c r="BK28" s="546"/>
      <c r="BL28" s="741"/>
      <c r="BM28" s="546"/>
      <c r="BN28" s="741"/>
      <c r="BO28" s="546"/>
      <c r="BP28" s="741"/>
      <c r="BQ28" s="546"/>
      <c r="BR28" s="741"/>
      <c r="BS28" s="546"/>
      <c r="BT28" s="741"/>
      <c r="BU28" s="546"/>
      <c r="BV28" s="741"/>
      <c r="BW28" s="546"/>
      <c r="BX28" s="741"/>
      <c r="BY28" s="546"/>
      <c r="BZ28" s="741"/>
      <c r="CA28" s="546">
        <v>0</v>
      </c>
      <c r="CB28" s="741"/>
      <c r="CC28" s="546">
        <v>0</v>
      </c>
      <c r="CD28" s="741"/>
      <c r="CE28" s="546">
        <v>0</v>
      </c>
      <c r="CF28" s="741"/>
      <c r="CG28" s="546">
        <v>0</v>
      </c>
      <c r="CH28" s="741"/>
      <c r="CI28" s="546">
        <v>0</v>
      </c>
      <c r="CJ28" s="741"/>
      <c r="CK28" s="546">
        <v>0</v>
      </c>
      <c r="CL28" s="741"/>
      <c r="CM28" s="546">
        <v>0</v>
      </c>
      <c r="CN28" s="741"/>
      <c r="CO28" s="546">
        <v>0</v>
      </c>
      <c r="CP28" s="741"/>
      <c r="CQ28" s="546">
        <v>0</v>
      </c>
      <c r="CR28" s="741"/>
      <c r="CS28" s="546">
        <v>0</v>
      </c>
      <c r="CT28" s="741"/>
      <c r="CU28" s="546"/>
      <c r="CV28" s="741"/>
      <c r="CW28" s="546"/>
      <c r="CX28" s="741"/>
      <c r="CY28" s="546"/>
      <c r="CZ28" s="741"/>
      <c r="DA28" s="546"/>
      <c r="DB28" s="741"/>
      <c r="DC28" s="546"/>
      <c r="DD28" s="741"/>
      <c r="DE28" s="667"/>
      <c r="DF28" s="549"/>
      <c r="DG28" s="539"/>
      <c r="DH28" s="735" t="s">
        <v>372</v>
      </c>
      <c r="DI28" s="736"/>
      <c r="DJ28" s="737">
        <v>0</v>
      </c>
      <c r="DK28" s="738">
        <v>0</v>
      </c>
      <c r="DL28" s="739"/>
      <c r="DM28" s="740"/>
      <c r="DN28" s="546"/>
      <c r="DO28" s="741"/>
      <c r="DP28" s="546"/>
      <c r="DQ28" s="741"/>
      <c r="DR28" s="546"/>
      <c r="DS28" s="741"/>
      <c r="DT28" s="546"/>
      <c r="DU28" s="741"/>
      <c r="DV28" s="546"/>
      <c r="DW28" s="741"/>
      <c r="DX28" s="546"/>
      <c r="DY28" s="741"/>
      <c r="DZ28" s="546"/>
      <c r="EA28" s="741"/>
      <c r="EB28" s="546"/>
      <c r="EC28" s="741"/>
      <c r="ED28" s="546">
        <v>0</v>
      </c>
      <c r="EE28" s="741"/>
      <c r="EF28" s="546">
        <v>0</v>
      </c>
      <c r="EG28" s="741"/>
      <c r="EH28" s="546">
        <v>0</v>
      </c>
      <c r="EI28" s="741"/>
      <c r="EJ28" s="546">
        <v>0</v>
      </c>
      <c r="EK28" s="741"/>
      <c r="EL28" s="546">
        <v>0</v>
      </c>
      <c r="EM28" s="741"/>
      <c r="EN28" s="546">
        <v>0</v>
      </c>
      <c r="EO28" s="741"/>
      <c r="EP28" s="546">
        <v>0</v>
      </c>
      <c r="EQ28" s="741"/>
      <c r="ER28" s="546">
        <v>0</v>
      </c>
      <c r="ES28" s="741"/>
      <c r="ET28" s="546">
        <v>0</v>
      </c>
      <c r="EU28" s="741"/>
      <c r="EV28" s="546">
        <v>0</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10</v>
      </c>
      <c r="E29" s="750">
        <v>30</v>
      </c>
      <c r="F29" s="751" t="s">
        <v>373</v>
      </c>
      <c r="G29" s="752"/>
      <c r="H29" s="574"/>
      <c r="I29" s="753"/>
      <c r="J29" s="574"/>
      <c r="K29" s="753"/>
      <c r="L29" s="574"/>
      <c r="M29" s="753"/>
      <c r="N29" s="574"/>
      <c r="O29" s="753"/>
      <c r="P29" s="574"/>
      <c r="Q29" s="753"/>
      <c r="R29" s="574"/>
      <c r="S29" s="753"/>
      <c r="T29" s="574"/>
      <c r="U29" s="753"/>
      <c r="V29" s="574"/>
      <c r="W29" s="753">
        <v>1</v>
      </c>
      <c r="X29" s="574">
        <v>300</v>
      </c>
      <c r="Y29" s="753">
        <v>1</v>
      </c>
      <c r="Z29" s="574">
        <v>300</v>
      </c>
      <c r="AA29" s="753">
        <v>1</v>
      </c>
      <c r="AB29" s="574">
        <v>300</v>
      </c>
      <c r="AC29" s="753">
        <v>1</v>
      </c>
      <c r="AD29" s="574">
        <v>300</v>
      </c>
      <c r="AE29" s="753">
        <v>1</v>
      </c>
      <c r="AF29" s="574">
        <v>300</v>
      </c>
      <c r="AG29" s="753">
        <v>1</v>
      </c>
      <c r="AH29" s="574">
        <v>300</v>
      </c>
      <c r="AI29" s="753">
        <v>1</v>
      </c>
      <c r="AJ29" s="574">
        <v>300</v>
      </c>
      <c r="AK29" s="753">
        <v>1</v>
      </c>
      <c r="AL29" s="574">
        <v>300</v>
      </c>
      <c r="AM29" s="753">
        <v>1</v>
      </c>
      <c r="AN29" s="574">
        <v>300</v>
      </c>
      <c r="AO29" s="753">
        <v>1</v>
      </c>
      <c r="AP29" s="574">
        <v>300</v>
      </c>
      <c r="AQ29" s="753"/>
      <c r="AR29" s="574"/>
      <c r="AS29" s="753"/>
      <c r="AT29" s="574"/>
      <c r="AU29" s="753"/>
      <c r="AV29" s="574"/>
      <c r="AW29" s="753"/>
      <c r="AX29" s="574"/>
      <c r="AY29" s="753"/>
      <c r="AZ29" s="574"/>
      <c r="BA29" s="753"/>
      <c r="BB29" s="576"/>
      <c r="BC29" s="549"/>
      <c r="BD29" s="539"/>
      <c r="BE29" s="747" t="s">
        <v>374</v>
      </c>
      <c r="BF29" s="748"/>
      <c r="BG29" s="749">
        <v>10</v>
      </c>
      <c r="BH29" s="750">
        <v>30</v>
      </c>
      <c r="BI29" s="751" t="s">
        <v>373</v>
      </c>
      <c r="BJ29" s="752"/>
      <c r="BK29" s="574"/>
      <c r="BL29" s="753"/>
      <c r="BM29" s="574"/>
      <c r="BN29" s="753"/>
      <c r="BO29" s="574"/>
      <c r="BP29" s="753"/>
      <c r="BQ29" s="574"/>
      <c r="BR29" s="753"/>
      <c r="BS29" s="574"/>
      <c r="BT29" s="753"/>
      <c r="BU29" s="574"/>
      <c r="BV29" s="753"/>
      <c r="BW29" s="574"/>
      <c r="BX29" s="753"/>
      <c r="BY29" s="574"/>
      <c r="BZ29" s="753">
        <v>1</v>
      </c>
      <c r="CA29" s="574">
        <v>300</v>
      </c>
      <c r="CB29" s="753">
        <v>1</v>
      </c>
      <c r="CC29" s="574">
        <v>300</v>
      </c>
      <c r="CD29" s="753">
        <v>1</v>
      </c>
      <c r="CE29" s="574">
        <v>300</v>
      </c>
      <c r="CF29" s="753">
        <v>1</v>
      </c>
      <c r="CG29" s="574">
        <v>300</v>
      </c>
      <c r="CH29" s="753">
        <v>1</v>
      </c>
      <c r="CI29" s="574">
        <v>300</v>
      </c>
      <c r="CJ29" s="753">
        <v>1</v>
      </c>
      <c r="CK29" s="574">
        <v>300</v>
      </c>
      <c r="CL29" s="753">
        <v>1</v>
      </c>
      <c r="CM29" s="574">
        <v>300</v>
      </c>
      <c r="CN29" s="753">
        <v>1</v>
      </c>
      <c r="CO29" s="574">
        <v>300</v>
      </c>
      <c r="CP29" s="753">
        <v>1</v>
      </c>
      <c r="CQ29" s="574">
        <v>300</v>
      </c>
      <c r="CR29" s="753">
        <v>1</v>
      </c>
      <c r="CS29" s="574">
        <v>300</v>
      </c>
      <c r="CT29" s="753"/>
      <c r="CU29" s="574"/>
      <c r="CV29" s="753"/>
      <c r="CW29" s="574"/>
      <c r="CX29" s="753"/>
      <c r="CY29" s="574"/>
      <c r="CZ29" s="753"/>
      <c r="DA29" s="574"/>
      <c r="DB29" s="753"/>
      <c r="DC29" s="574"/>
      <c r="DD29" s="753"/>
      <c r="DE29" s="576"/>
      <c r="DF29" s="549"/>
      <c r="DG29" s="539"/>
      <c r="DH29" s="747" t="s">
        <v>374</v>
      </c>
      <c r="DI29" s="748"/>
      <c r="DJ29" s="749">
        <v>10</v>
      </c>
      <c r="DK29" s="750">
        <v>30</v>
      </c>
      <c r="DL29" s="751" t="s">
        <v>373</v>
      </c>
      <c r="DM29" s="752"/>
      <c r="DN29" s="574"/>
      <c r="DO29" s="753"/>
      <c r="DP29" s="574"/>
      <c r="DQ29" s="753"/>
      <c r="DR29" s="574"/>
      <c r="DS29" s="753"/>
      <c r="DT29" s="574"/>
      <c r="DU29" s="753"/>
      <c r="DV29" s="574"/>
      <c r="DW29" s="753"/>
      <c r="DX29" s="574"/>
      <c r="DY29" s="753"/>
      <c r="DZ29" s="574"/>
      <c r="EA29" s="753"/>
      <c r="EB29" s="574"/>
      <c r="EC29" s="753">
        <v>1</v>
      </c>
      <c r="ED29" s="574">
        <v>300</v>
      </c>
      <c r="EE29" s="753">
        <v>1</v>
      </c>
      <c r="EF29" s="574">
        <v>300</v>
      </c>
      <c r="EG29" s="753">
        <v>1</v>
      </c>
      <c r="EH29" s="574">
        <v>300</v>
      </c>
      <c r="EI29" s="753">
        <v>1</v>
      </c>
      <c r="EJ29" s="574">
        <v>300</v>
      </c>
      <c r="EK29" s="753">
        <v>1</v>
      </c>
      <c r="EL29" s="574">
        <v>300</v>
      </c>
      <c r="EM29" s="753">
        <v>1</v>
      </c>
      <c r="EN29" s="574">
        <v>300</v>
      </c>
      <c r="EO29" s="753">
        <v>1</v>
      </c>
      <c r="EP29" s="574">
        <v>300</v>
      </c>
      <c r="EQ29" s="753">
        <v>1</v>
      </c>
      <c r="ER29" s="574">
        <v>300</v>
      </c>
      <c r="ES29" s="753">
        <v>1</v>
      </c>
      <c r="ET29" s="574">
        <v>300</v>
      </c>
      <c r="EU29" s="753">
        <v>1</v>
      </c>
      <c r="EV29" s="574">
        <v>300</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c r="D30" s="750">
        <v>0</v>
      </c>
      <c r="E30" s="759"/>
      <c r="F30" s="760"/>
      <c r="G30" s="752"/>
      <c r="H30" s="574"/>
      <c r="I30" s="753"/>
      <c r="J30" s="574"/>
      <c r="K30" s="753"/>
      <c r="L30" s="574"/>
      <c r="M30" s="753"/>
      <c r="N30" s="574"/>
      <c r="O30" s="753"/>
      <c r="P30" s="574"/>
      <c r="Q30" s="753"/>
      <c r="R30" s="574"/>
      <c r="S30" s="753"/>
      <c r="T30" s="574"/>
      <c r="U30" s="753"/>
      <c r="V30" s="574"/>
      <c r="W30" s="753"/>
      <c r="X30" s="574">
        <v>0</v>
      </c>
      <c r="Y30" s="753"/>
      <c r="Z30" s="574">
        <v>0</v>
      </c>
      <c r="AA30" s="753"/>
      <c r="AB30" s="574">
        <v>0</v>
      </c>
      <c r="AC30" s="753"/>
      <c r="AD30" s="574">
        <v>0</v>
      </c>
      <c r="AE30" s="753"/>
      <c r="AF30" s="574">
        <v>0</v>
      </c>
      <c r="AG30" s="753"/>
      <c r="AH30" s="574">
        <v>0</v>
      </c>
      <c r="AI30" s="753"/>
      <c r="AJ30" s="574">
        <v>0</v>
      </c>
      <c r="AK30" s="753"/>
      <c r="AL30" s="574">
        <v>0</v>
      </c>
      <c r="AM30" s="753"/>
      <c r="AN30" s="574">
        <v>0</v>
      </c>
      <c r="AO30" s="753"/>
      <c r="AP30" s="574">
        <v>0</v>
      </c>
      <c r="AQ30" s="753"/>
      <c r="AR30" s="574"/>
      <c r="AS30" s="753"/>
      <c r="AT30" s="574"/>
      <c r="AU30" s="753"/>
      <c r="AV30" s="574"/>
      <c r="AW30" s="753"/>
      <c r="AX30" s="574"/>
      <c r="AY30" s="753"/>
      <c r="AZ30" s="574"/>
      <c r="BA30" s="753"/>
      <c r="BB30" s="576"/>
      <c r="BC30" s="549"/>
      <c r="BD30" s="539"/>
      <c r="BE30" s="747" t="s">
        <v>375</v>
      </c>
      <c r="BF30" s="749">
        <v>0</v>
      </c>
      <c r="BG30" s="750">
        <v>0</v>
      </c>
      <c r="BH30" s="759">
        <v>0</v>
      </c>
      <c r="BI30" s="760"/>
      <c r="BJ30" s="752"/>
      <c r="BK30" s="574"/>
      <c r="BL30" s="753"/>
      <c r="BM30" s="574"/>
      <c r="BN30" s="753"/>
      <c r="BO30" s="574"/>
      <c r="BP30" s="753"/>
      <c r="BQ30" s="574"/>
      <c r="BR30" s="753"/>
      <c r="BS30" s="574"/>
      <c r="BT30" s="753"/>
      <c r="BU30" s="574"/>
      <c r="BV30" s="753"/>
      <c r="BW30" s="574"/>
      <c r="BX30" s="753"/>
      <c r="BY30" s="574"/>
      <c r="BZ30" s="753"/>
      <c r="CA30" s="574">
        <v>0</v>
      </c>
      <c r="CB30" s="753"/>
      <c r="CC30" s="574">
        <v>0</v>
      </c>
      <c r="CD30" s="753"/>
      <c r="CE30" s="574">
        <v>0</v>
      </c>
      <c r="CF30" s="753"/>
      <c r="CG30" s="574">
        <v>0</v>
      </c>
      <c r="CH30" s="753"/>
      <c r="CI30" s="574">
        <v>0</v>
      </c>
      <c r="CJ30" s="753"/>
      <c r="CK30" s="574">
        <v>0</v>
      </c>
      <c r="CL30" s="753"/>
      <c r="CM30" s="574">
        <v>0</v>
      </c>
      <c r="CN30" s="753"/>
      <c r="CO30" s="574">
        <v>0</v>
      </c>
      <c r="CP30" s="753"/>
      <c r="CQ30" s="574">
        <v>0</v>
      </c>
      <c r="CR30" s="753"/>
      <c r="CS30" s="574">
        <v>0</v>
      </c>
      <c r="CT30" s="753"/>
      <c r="CU30" s="574"/>
      <c r="CV30" s="753"/>
      <c r="CW30" s="574"/>
      <c r="CX30" s="753"/>
      <c r="CY30" s="574"/>
      <c r="CZ30" s="753"/>
      <c r="DA30" s="574"/>
      <c r="DB30" s="753"/>
      <c r="DC30" s="574"/>
      <c r="DD30" s="753"/>
      <c r="DE30" s="576"/>
      <c r="DF30" s="549"/>
      <c r="DG30" s="539"/>
      <c r="DH30" s="747" t="s">
        <v>375</v>
      </c>
      <c r="DI30" s="749">
        <v>0</v>
      </c>
      <c r="DJ30" s="750">
        <v>0</v>
      </c>
      <c r="DK30" s="759">
        <v>0</v>
      </c>
      <c r="DL30" s="760"/>
      <c r="DM30" s="752"/>
      <c r="DN30" s="574"/>
      <c r="DO30" s="753"/>
      <c r="DP30" s="574"/>
      <c r="DQ30" s="753"/>
      <c r="DR30" s="574"/>
      <c r="DS30" s="753"/>
      <c r="DT30" s="574"/>
      <c r="DU30" s="753"/>
      <c r="DV30" s="574"/>
      <c r="DW30" s="753"/>
      <c r="DX30" s="574"/>
      <c r="DY30" s="753"/>
      <c r="DZ30" s="574"/>
      <c r="EA30" s="753"/>
      <c r="EB30" s="574"/>
      <c r="EC30" s="753"/>
      <c r="ED30" s="574">
        <v>0</v>
      </c>
      <c r="EE30" s="753"/>
      <c r="EF30" s="574">
        <v>0</v>
      </c>
      <c r="EG30" s="753"/>
      <c r="EH30" s="574">
        <v>0</v>
      </c>
      <c r="EI30" s="753"/>
      <c r="EJ30" s="574">
        <v>0</v>
      </c>
      <c r="EK30" s="753"/>
      <c r="EL30" s="574">
        <v>0</v>
      </c>
      <c r="EM30" s="753"/>
      <c r="EN30" s="574">
        <v>0</v>
      </c>
      <c r="EO30" s="753"/>
      <c r="EP30" s="574">
        <v>0</v>
      </c>
      <c r="EQ30" s="753"/>
      <c r="ER30" s="574">
        <v>0</v>
      </c>
      <c r="ES30" s="753"/>
      <c r="ET30" s="574">
        <v>0</v>
      </c>
      <c r="EU30" s="753"/>
      <c r="EV30" s="574">
        <v>0</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v>1500</v>
      </c>
      <c r="E31" s="769">
        <v>0.6</v>
      </c>
      <c r="F31" s="770" t="s">
        <v>373</v>
      </c>
      <c r="G31" s="752"/>
      <c r="H31" s="574"/>
      <c r="I31" s="753"/>
      <c r="J31" s="574"/>
      <c r="K31" s="753"/>
      <c r="L31" s="574"/>
      <c r="M31" s="753"/>
      <c r="N31" s="574"/>
      <c r="O31" s="753"/>
      <c r="P31" s="574"/>
      <c r="Q31" s="753"/>
      <c r="R31" s="574"/>
      <c r="S31" s="753"/>
      <c r="T31" s="574"/>
      <c r="U31" s="753"/>
      <c r="V31" s="574"/>
      <c r="W31" s="753">
        <v>1</v>
      </c>
      <c r="X31" s="574">
        <v>900</v>
      </c>
      <c r="Y31" s="753">
        <v>1</v>
      </c>
      <c r="Z31" s="574">
        <v>900</v>
      </c>
      <c r="AA31" s="753">
        <v>1</v>
      </c>
      <c r="AB31" s="574">
        <v>900</v>
      </c>
      <c r="AC31" s="753">
        <v>1</v>
      </c>
      <c r="AD31" s="574">
        <v>900</v>
      </c>
      <c r="AE31" s="753">
        <v>1</v>
      </c>
      <c r="AF31" s="574">
        <v>900</v>
      </c>
      <c r="AG31" s="753">
        <v>1</v>
      </c>
      <c r="AH31" s="574">
        <v>900</v>
      </c>
      <c r="AI31" s="753">
        <v>1</v>
      </c>
      <c r="AJ31" s="574">
        <v>900</v>
      </c>
      <c r="AK31" s="753">
        <v>1</v>
      </c>
      <c r="AL31" s="574">
        <v>900</v>
      </c>
      <c r="AM31" s="753">
        <v>1</v>
      </c>
      <c r="AN31" s="574">
        <v>900</v>
      </c>
      <c r="AO31" s="753">
        <v>1</v>
      </c>
      <c r="AP31" s="574">
        <v>900</v>
      </c>
      <c r="AQ31" s="753"/>
      <c r="AR31" s="574"/>
      <c r="AS31" s="753"/>
      <c r="AT31" s="574"/>
      <c r="AU31" s="753"/>
      <c r="AV31" s="574"/>
      <c r="AW31" s="753"/>
      <c r="AX31" s="574"/>
      <c r="AY31" s="753"/>
      <c r="AZ31" s="574"/>
      <c r="BA31" s="753"/>
      <c r="BB31" s="576"/>
      <c r="BC31" s="549"/>
      <c r="BD31" s="539"/>
      <c r="BE31" s="767" t="s">
        <v>376</v>
      </c>
      <c r="BF31" s="767"/>
      <c r="BG31" s="768">
        <v>1500</v>
      </c>
      <c r="BH31" s="769">
        <v>0.6</v>
      </c>
      <c r="BI31" s="770" t="s">
        <v>373</v>
      </c>
      <c r="BJ31" s="752"/>
      <c r="BK31" s="574"/>
      <c r="BL31" s="753"/>
      <c r="BM31" s="574"/>
      <c r="BN31" s="753"/>
      <c r="BO31" s="574"/>
      <c r="BP31" s="753"/>
      <c r="BQ31" s="574"/>
      <c r="BR31" s="753"/>
      <c r="BS31" s="574"/>
      <c r="BT31" s="753"/>
      <c r="BU31" s="574"/>
      <c r="BV31" s="753"/>
      <c r="BW31" s="574"/>
      <c r="BX31" s="753"/>
      <c r="BY31" s="574"/>
      <c r="BZ31" s="753">
        <v>1</v>
      </c>
      <c r="CA31" s="574">
        <v>900</v>
      </c>
      <c r="CB31" s="753">
        <v>1</v>
      </c>
      <c r="CC31" s="574">
        <v>900</v>
      </c>
      <c r="CD31" s="753">
        <v>1</v>
      </c>
      <c r="CE31" s="574">
        <v>900</v>
      </c>
      <c r="CF31" s="753">
        <v>1</v>
      </c>
      <c r="CG31" s="574">
        <v>900</v>
      </c>
      <c r="CH31" s="753">
        <v>1</v>
      </c>
      <c r="CI31" s="574">
        <v>900</v>
      </c>
      <c r="CJ31" s="753">
        <v>1</v>
      </c>
      <c r="CK31" s="574">
        <v>900</v>
      </c>
      <c r="CL31" s="753">
        <v>1</v>
      </c>
      <c r="CM31" s="574">
        <v>900</v>
      </c>
      <c r="CN31" s="753">
        <v>1</v>
      </c>
      <c r="CO31" s="574">
        <v>900</v>
      </c>
      <c r="CP31" s="753">
        <v>1</v>
      </c>
      <c r="CQ31" s="574">
        <v>900</v>
      </c>
      <c r="CR31" s="753">
        <v>1</v>
      </c>
      <c r="CS31" s="574">
        <v>900</v>
      </c>
      <c r="CT31" s="753"/>
      <c r="CU31" s="574"/>
      <c r="CV31" s="753"/>
      <c r="CW31" s="574"/>
      <c r="CX31" s="753"/>
      <c r="CY31" s="574"/>
      <c r="CZ31" s="753"/>
      <c r="DA31" s="574"/>
      <c r="DB31" s="753"/>
      <c r="DC31" s="574"/>
      <c r="DD31" s="753"/>
      <c r="DE31" s="576"/>
      <c r="DF31" s="549"/>
      <c r="DG31" s="539"/>
      <c r="DH31" s="767" t="s">
        <v>376</v>
      </c>
      <c r="DI31" s="767"/>
      <c r="DJ31" s="768">
        <v>1500</v>
      </c>
      <c r="DK31" s="769">
        <v>0.6</v>
      </c>
      <c r="DL31" s="770" t="s">
        <v>373</v>
      </c>
      <c r="DM31" s="752"/>
      <c r="DN31" s="574"/>
      <c r="DO31" s="753"/>
      <c r="DP31" s="574"/>
      <c r="DQ31" s="753"/>
      <c r="DR31" s="574"/>
      <c r="DS31" s="753"/>
      <c r="DT31" s="574"/>
      <c r="DU31" s="753"/>
      <c r="DV31" s="574"/>
      <c r="DW31" s="753"/>
      <c r="DX31" s="574"/>
      <c r="DY31" s="753"/>
      <c r="DZ31" s="574"/>
      <c r="EA31" s="753"/>
      <c r="EB31" s="574"/>
      <c r="EC31" s="753">
        <v>1</v>
      </c>
      <c r="ED31" s="574">
        <v>900</v>
      </c>
      <c r="EE31" s="753">
        <v>1</v>
      </c>
      <c r="EF31" s="574">
        <v>900</v>
      </c>
      <c r="EG31" s="753">
        <v>1</v>
      </c>
      <c r="EH31" s="574">
        <v>900</v>
      </c>
      <c r="EI31" s="753">
        <v>1</v>
      </c>
      <c r="EJ31" s="574">
        <v>900</v>
      </c>
      <c r="EK31" s="753">
        <v>1</v>
      </c>
      <c r="EL31" s="574">
        <v>900</v>
      </c>
      <c r="EM31" s="753">
        <v>1</v>
      </c>
      <c r="EN31" s="574">
        <v>900</v>
      </c>
      <c r="EO31" s="753">
        <v>1</v>
      </c>
      <c r="EP31" s="574">
        <v>900</v>
      </c>
      <c r="EQ31" s="753">
        <v>1</v>
      </c>
      <c r="ER31" s="574">
        <v>900</v>
      </c>
      <c r="ES31" s="753">
        <v>1</v>
      </c>
      <c r="ET31" s="574">
        <v>900</v>
      </c>
      <c r="EU31" s="753">
        <v>1</v>
      </c>
      <c r="EV31" s="574">
        <v>900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65"/>
      <c r="J33" s="1264">
        <v>0</v>
      </c>
      <c r="K33" s="1265"/>
      <c r="L33" s="1264">
        <v>0</v>
      </c>
      <c r="M33" s="1265"/>
      <c r="N33" s="1264">
        <v>0</v>
      </c>
      <c r="O33" s="1265"/>
      <c r="P33" s="1264">
        <v>0</v>
      </c>
      <c r="Q33" s="1265"/>
      <c r="R33" s="1264">
        <v>0</v>
      </c>
      <c r="S33" s="1265"/>
      <c r="T33" s="1264">
        <v>0</v>
      </c>
      <c r="U33" s="1265"/>
      <c r="V33" s="1264">
        <v>0</v>
      </c>
      <c r="W33" s="1265"/>
      <c r="X33" s="1264">
        <v>1200</v>
      </c>
      <c r="Y33" s="1265"/>
      <c r="Z33" s="1264">
        <v>1200</v>
      </c>
      <c r="AA33" s="1265"/>
      <c r="AB33" s="1264">
        <v>1200</v>
      </c>
      <c r="AC33" s="1265"/>
      <c r="AD33" s="1264">
        <v>1200</v>
      </c>
      <c r="AE33" s="1265"/>
      <c r="AF33" s="1264">
        <v>1200</v>
      </c>
      <c r="AG33" s="1265"/>
      <c r="AH33" s="1264">
        <v>1200</v>
      </c>
      <c r="AI33" s="1265"/>
      <c r="AJ33" s="1264">
        <v>1200</v>
      </c>
      <c r="AK33" s="1265"/>
      <c r="AL33" s="1264">
        <v>1200</v>
      </c>
      <c r="AM33" s="1265"/>
      <c r="AN33" s="1264">
        <v>1200</v>
      </c>
      <c r="AO33" s="1265"/>
      <c r="AP33" s="1264">
        <v>1200</v>
      </c>
      <c r="AQ33" s="1265"/>
      <c r="AR33" s="1264">
        <v>0</v>
      </c>
      <c r="AS33" s="1265"/>
      <c r="AT33" s="1264">
        <v>0</v>
      </c>
      <c r="AU33" s="1265"/>
      <c r="AV33" s="1264">
        <v>0</v>
      </c>
      <c r="AW33" s="1265"/>
      <c r="AX33" s="1264">
        <v>0</v>
      </c>
      <c r="AY33" s="1265"/>
      <c r="AZ33" s="1264">
        <v>0</v>
      </c>
      <c r="BA33" s="1265"/>
      <c r="BB33" s="1266">
        <v>0</v>
      </c>
      <c r="BC33" s="635"/>
      <c r="BD33" s="628"/>
      <c r="BE33" s="629"/>
      <c r="BF33" s="629"/>
      <c r="BG33" s="630" t="s">
        <v>378</v>
      </c>
      <c r="BH33" s="629"/>
      <c r="BI33" s="629"/>
      <c r="BJ33" s="1263"/>
      <c r="BK33" s="1264">
        <v>0</v>
      </c>
      <c r="BL33" s="1265"/>
      <c r="BM33" s="1264">
        <v>0</v>
      </c>
      <c r="BN33" s="1265"/>
      <c r="BO33" s="1264">
        <v>0</v>
      </c>
      <c r="BP33" s="1265"/>
      <c r="BQ33" s="1264">
        <v>0</v>
      </c>
      <c r="BR33" s="1265"/>
      <c r="BS33" s="1264">
        <v>0</v>
      </c>
      <c r="BT33" s="1265"/>
      <c r="BU33" s="1264">
        <v>0</v>
      </c>
      <c r="BV33" s="1265"/>
      <c r="BW33" s="1264">
        <v>0</v>
      </c>
      <c r="BX33" s="1265"/>
      <c r="BY33" s="1264">
        <v>0</v>
      </c>
      <c r="BZ33" s="1265"/>
      <c r="CA33" s="1264">
        <v>1200</v>
      </c>
      <c r="CB33" s="1265"/>
      <c r="CC33" s="1264">
        <v>1200</v>
      </c>
      <c r="CD33" s="1265"/>
      <c r="CE33" s="1264">
        <v>1200</v>
      </c>
      <c r="CF33" s="1265"/>
      <c r="CG33" s="1264">
        <v>1200</v>
      </c>
      <c r="CH33" s="1265"/>
      <c r="CI33" s="1264">
        <v>1200</v>
      </c>
      <c r="CJ33" s="1265"/>
      <c r="CK33" s="1264">
        <v>1200</v>
      </c>
      <c r="CL33" s="1265"/>
      <c r="CM33" s="1264">
        <v>1200</v>
      </c>
      <c r="CN33" s="1265"/>
      <c r="CO33" s="1264">
        <v>1200</v>
      </c>
      <c r="CP33" s="1265"/>
      <c r="CQ33" s="1264">
        <v>1200</v>
      </c>
      <c r="CR33" s="1265"/>
      <c r="CS33" s="1264">
        <v>1200</v>
      </c>
      <c r="CT33" s="1265"/>
      <c r="CU33" s="1264">
        <v>0</v>
      </c>
      <c r="CV33" s="1265"/>
      <c r="CW33" s="1264">
        <v>0</v>
      </c>
      <c r="CX33" s="1265"/>
      <c r="CY33" s="1264">
        <v>0</v>
      </c>
      <c r="CZ33" s="1265"/>
      <c r="DA33" s="1264">
        <v>0</v>
      </c>
      <c r="DB33" s="1265"/>
      <c r="DC33" s="1264">
        <v>0</v>
      </c>
      <c r="DD33" s="1265"/>
      <c r="DE33" s="1266">
        <v>0</v>
      </c>
      <c r="DF33" s="635"/>
      <c r="DG33" s="628"/>
      <c r="DH33" s="629"/>
      <c r="DI33" s="629"/>
      <c r="DJ33" s="630" t="s">
        <v>378</v>
      </c>
      <c r="DK33" s="629"/>
      <c r="DL33" s="629"/>
      <c r="DM33" s="1263"/>
      <c r="DN33" s="1264">
        <v>0</v>
      </c>
      <c r="DO33" s="1265"/>
      <c r="DP33" s="1264">
        <v>0</v>
      </c>
      <c r="DQ33" s="1265"/>
      <c r="DR33" s="1264">
        <v>0</v>
      </c>
      <c r="DS33" s="1265"/>
      <c r="DT33" s="1264">
        <v>0</v>
      </c>
      <c r="DU33" s="1265"/>
      <c r="DV33" s="1264">
        <v>0</v>
      </c>
      <c r="DW33" s="1265"/>
      <c r="DX33" s="1264">
        <v>0</v>
      </c>
      <c r="DY33" s="1265"/>
      <c r="DZ33" s="1264">
        <v>0</v>
      </c>
      <c r="EA33" s="1265"/>
      <c r="EB33" s="1264">
        <v>0</v>
      </c>
      <c r="EC33" s="1265"/>
      <c r="ED33" s="1264">
        <v>1200</v>
      </c>
      <c r="EE33" s="1265"/>
      <c r="EF33" s="1264">
        <v>1200</v>
      </c>
      <c r="EG33" s="1265"/>
      <c r="EH33" s="1264">
        <v>1200</v>
      </c>
      <c r="EI33" s="1265"/>
      <c r="EJ33" s="1264">
        <v>1200</v>
      </c>
      <c r="EK33" s="1265"/>
      <c r="EL33" s="1264">
        <v>1200</v>
      </c>
      <c r="EM33" s="1265"/>
      <c r="EN33" s="1264">
        <v>1200</v>
      </c>
      <c r="EO33" s="1265"/>
      <c r="EP33" s="1264">
        <v>1200</v>
      </c>
      <c r="EQ33" s="1265"/>
      <c r="ER33" s="1264">
        <v>1200</v>
      </c>
      <c r="ES33" s="1265"/>
      <c r="ET33" s="1264">
        <v>1200</v>
      </c>
      <c r="EU33" s="1265"/>
      <c r="EV33" s="1264">
        <v>1200</v>
      </c>
      <c r="EW33" s="1265"/>
      <c r="EX33" s="1264">
        <v>0</v>
      </c>
      <c r="EY33" s="1265"/>
      <c r="EZ33" s="1264">
        <v>0</v>
      </c>
      <c r="FA33" s="1265"/>
      <c r="FB33" s="1264">
        <v>0</v>
      </c>
      <c r="FC33" s="1265"/>
      <c r="FD33" s="1264">
        <v>0</v>
      </c>
      <c r="FE33" s="1265"/>
      <c r="FF33" s="1264">
        <v>0</v>
      </c>
      <c r="FG33" s="1265"/>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206</v>
      </c>
      <c r="GV33" s="795"/>
      <c r="GW33" s="796">
        <v>11.76</v>
      </c>
      <c r="GX33" s="797">
        <v>33.78</v>
      </c>
      <c r="GY33" s="797">
        <v>9.4</v>
      </c>
      <c r="GZ33" s="797">
        <v>0</v>
      </c>
      <c r="HA33" s="797">
        <v>54.94</v>
      </c>
      <c r="HB33" s="798">
        <v>30</v>
      </c>
      <c r="HC33" s="404"/>
      <c r="HD33" s="635"/>
      <c r="HE33" s="406"/>
      <c r="HF33" s="406"/>
    </row>
    <row r="34" spans="1:219" ht="20.100000000000001" customHeight="1">
      <c r="A34" s="127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7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7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619</v>
      </c>
      <c r="GL34" s="807"/>
      <c r="GM34" s="807"/>
      <c r="GN34" s="807"/>
      <c r="GO34" s="807"/>
      <c r="GP34" s="807"/>
      <c r="GQ34" s="602">
        <v>8.4</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76">
        <v>0</v>
      </c>
      <c r="I36" s="1277"/>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79">
        <v>0</v>
      </c>
      <c r="BC36" s="635"/>
      <c r="BD36" s="811"/>
      <c r="BE36" s="629"/>
      <c r="BF36" s="629"/>
      <c r="BG36" s="630" t="s">
        <v>382</v>
      </c>
      <c r="BH36" s="629"/>
      <c r="BI36" s="629"/>
      <c r="BJ36" s="1275"/>
      <c r="BK36" s="1276">
        <v>0</v>
      </c>
      <c r="BL36" s="1277"/>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79">
        <v>0</v>
      </c>
      <c r="DF36" s="635"/>
      <c r="DG36" s="811"/>
      <c r="DH36" s="629"/>
      <c r="DI36" s="629"/>
      <c r="DJ36" s="630" t="s">
        <v>382</v>
      </c>
      <c r="DK36" s="629"/>
      <c r="DL36" s="629"/>
      <c r="DM36" s="1275"/>
      <c r="DN36" s="1276">
        <v>0</v>
      </c>
      <c r="DO36" s="1277"/>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79">
        <v>0</v>
      </c>
      <c r="FI36" s="636"/>
      <c r="FJ36" s="820"/>
      <c r="FK36" s="629"/>
      <c r="FL36" s="629"/>
      <c r="FM36" s="630" t="s">
        <v>382</v>
      </c>
      <c r="FN36" s="629"/>
      <c r="FO36" s="629"/>
      <c r="FP36" s="1267"/>
      <c r="FQ36" s="1277"/>
      <c r="FR36" s="1276">
        <v>0</v>
      </c>
      <c r="FS36" s="1280"/>
      <c r="FT36" s="1277"/>
      <c r="FU36" s="128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54.94</v>
      </c>
      <c r="HB38" s="854">
        <v>30</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1.83</v>
      </c>
      <c r="HB39" s="566"/>
      <c r="HC39" s="517"/>
      <c r="HD39" s="549"/>
    </row>
    <row r="40" spans="1:219" ht="20.100000000000001" customHeight="1">
      <c r="A40" s="868"/>
      <c r="B40" s="629"/>
      <c r="C40" s="629"/>
      <c r="D40" s="630" t="s">
        <v>393</v>
      </c>
      <c r="E40" s="629"/>
      <c r="F40" s="629"/>
      <c r="G40" s="1275"/>
      <c r="H40" s="1276">
        <v>0</v>
      </c>
      <c r="I40" s="1277"/>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79">
        <v>0</v>
      </c>
      <c r="BC40" s="635"/>
      <c r="BD40" s="868"/>
      <c r="BE40" s="629"/>
      <c r="BF40" s="629"/>
      <c r="BG40" s="630" t="s">
        <v>393</v>
      </c>
      <c r="BH40" s="629"/>
      <c r="BI40" s="629"/>
      <c r="BJ40" s="1275"/>
      <c r="BK40" s="1276">
        <v>0</v>
      </c>
      <c r="BL40" s="1277"/>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79">
        <v>0</v>
      </c>
      <c r="DF40" s="635"/>
      <c r="DG40" s="868"/>
      <c r="DH40" s="629"/>
      <c r="DI40" s="629"/>
      <c r="DJ40" s="630" t="s">
        <v>393</v>
      </c>
      <c r="DK40" s="629"/>
      <c r="DL40" s="629"/>
      <c r="DM40" s="1275"/>
      <c r="DN40" s="1276">
        <v>0</v>
      </c>
      <c r="DO40" s="1277"/>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79">
        <v>0</v>
      </c>
      <c r="FI40" s="636"/>
      <c r="FJ40" s="820"/>
      <c r="FK40" s="629"/>
      <c r="FL40" s="629"/>
      <c r="FM40" s="630" t="s">
        <v>393</v>
      </c>
      <c r="FN40" s="629"/>
      <c r="FO40" s="629"/>
      <c r="FP40" s="1267"/>
      <c r="FQ40" s="1277"/>
      <c r="FR40" s="1276">
        <v>0</v>
      </c>
      <c r="FS40" s="1280"/>
      <c r="FT40" s="1277"/>
      <c r="FU40" s="128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519</v>
      </c>
      <c r="GV40" s="517"/>
      <c r="GW40" s="517"/>
      <c r="GX40" s="517"/>
      <c r="GY40" s="517"/>
      <c r="GZ40" s="517"/>
      <c r="HA40" s="873">
        <v>39</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552</v>
      </c>
      <c r="GV41" s="517"/>
      <c r="GW41" s="517"/>
      <c r="GX41" s="517"/>
      <c r="GY41" s="517"/>
      <c r="GZ41" s="517"/>
      <c r="HA41" s="873">
        <v>31.1</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252</v>
      </c>
      <c r="Y42" s="818"/>
      <c r="Z42" s="782">
        <v>153</v>
      </c>
      <c r="AA42" s="818"/>
      <c r="AB42" s="782">
        <v>141</v>
      </c>
      <c r="AC42" s="818"/>
      <c r="AD42" s="782">
        <v>129</v>
      </c>
      <c r="AE42" s="818"/>
      <c r="AF42" s="782">
        <v>120</v>
      </c>
      <c r="AG42" s="818"/>
      <c r="AH42" s="782">
        <v>108</v>
      </c>
      <c r="AI42" s="818"/>
      <c r="AJ42" s="782">
        <v>102</v>
      </c>
      <c r="AK42" s="818"/>
      <c r="AL42" s="782">
        <v>93</v>
      </c>
      <c r="AM42" s="818"/>
      <c r="AN42" s="782">
        <v>84</v>
      </c>
      <c r="AO42" s="818"/>
      <c r="AP42" s="782">
        <v>78</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252</v>
      </c>
      <c r="CB42" s="818"/>
      <c r="CC42" s="782">
        <v>153</v>
      </c>
      <c r="CD42" s="818"/>
      <c r="CE42" s="782">
        <v>141</v>
      </c>
      <c r="CF42" s="818"/>
      <c r="CG42" s="782">
        <v>129</v>
      </c>
      <c r="CH42" s="818"/>
      <c r="CI42" s="782">
        <v>120</v>
      </c>
      <c r="CJ42" s="818"/>
      <c r="CK42" s="782">
        <v>108</v>
      </c>
      <c r="CL42" s="818"/>
      <c r="CM42" s="782">
        <v>102</v>
      </c>
      <c r="CN42" s="818"/>
      <c r="CO42" s="782">
        <v>93</v>
      </c>
      <c r="CP42" s="818"/>
      <c r="CQ42" s="782">
        <v>84</v>
      </c>
      <c r="CR42" s="818"/>
      <c r="CS42" s="782">
        <v>78</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252</v>
      </c>
      <c r="EE42" s="818"/>
      <c r="EF42" s="782">
        <v>153</v>
      </c>
      <c r="EG42" s="818"/>
      <c r="EH42" s="782">
        <v>141</v>
      </c>
      <c r="EI42" s="818"/>
      <c r="EJ42" s="782">
        <v>129</v>
      </c>
      <c r="EK42" s="818"/>
      <c r="EL42" s="782">
        <v>120</v>
      </c>
      <c r="EM42" s="818"/>
      <c r="EN42" s="782">
        <v>108</v>
      </c>
      <c r="EO42" s="818"/>
      <c r="EP42" s="782">
        <v>102</v>
      </c>
      <c r="EQ42" s="818"/>
      <c r="ER42" s="782">
        <v>93</v>
      </c>
      <c r="ES42" s="818"/>
      <c r="ET42" s="782">
        <v>84</v>
      </c>
      <c r="EU42" s="818"/>
      <c r="EV42" s="782">
        <v>78</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396</v>
      </c>
      <c r="FS42" s="822"/>
      <c r="FT42" s="817"/>
      <c r="FU42" s="788">
        <v>396</v>
      </c>
      <c r="FV42" s="580"/>
      <c r="FW42" s="581"/>
      <c r="FX42" s="789"/>
      <c r="FY42" s="583"/>
      <c r="FZ42" s="790"/>
      <c r="GA42" s="585"/>
      <c r="GB42" s="791"/>
      <c r="GC42" s="587"/>
      <c r="GD42" s="791"/>
      <c r="GE42" s="588"/>
      <c r="GF42" s="823"/>
      <c r="GG42" s="589"/>
      <c r="GH42" s="589"/>
      <c r="GI42" s="589"/>
      <c r="GJ42" s="400"/>
      <c r="GK42" s="887"/>
      <c r="GL42" s="888"/>
      <c r="GM42" s="889">
        <v>8.4</v>
      </c>
      <c r="GN42" s="889"/>
      <c r="GO42" s="889">
        <v>0</v>
      </c>
      <c r="GP42" s="889"/>
      <c r="GQ42" s="889">
        <v>8.4</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76">
        <v>0</v>
      </c>
      <c r="I44" s="1277"/>
      <c r="J44" s="827">
        <v>0</v>
      </c>
      <c r="K44" s="1278"/>
      <c r="L44" s="827">
        <v>0</v>
      </c>
      <c r="M44" s="1278"/>
      <c r="N44" s="827">
        <v>0</v>
      </c>
      <c r="O44" s="1278"/>
      <c r="P44" s="827">
        <v>0</v>
      </c>
      <c r="Q44" s="1278"/>
      <c r="R44" s="827">
        <v>0</v>
      </c>
      <c r="S44" s="1278"/>
      <c r="T44" s="827">
        <v>0</v>
      </c>
      <c r="U44" s="1278"/>
      <c r="V44" s="827">
        <v>0</v>
      </c>
      <c r="W44" s="1278"/>
      <c r="X44" s="827">
        <v>252</v>
      </c>
      <c r="Y44" s="1278"/>
      <c r="Z44" s="827">
        <v>153</v>
      </c>
      <c r="AA44" s="1278"/>
      <c r="AB44" s="827">
        <v>141</v>
      </c>
      <c r="AC44" s="1278"/>
      <c r="AD44" s="827">
        <v>129</v>
      </c>
      <c r="AE44" s="1278"/>
      <c r="AF44" s="827">
        <v>120</v>
      </c>
      <c r="AG44" s="1278"/>
      <c r="AH44" s="827">
        <v>108</v>
      </c>
      <c r="AI44" s="1278"/>
      <c r="AJ44" s="827">
        <v>102</v>
      </c>
      <c r="AK44" s="1278"/>
      <c r="AL44" s="827">
        <v>93</v>
      </c>
      <c r="AM44" s="1278"/>
      <c r="AN44" s="827">
        <v>84</v>
      </c>
      <c r="AO44" s="1278"/>
      <c r="AP44" s="827">
        <v>78</v>
      </c>
      <c r="AQ44" s="1278"/>
      <c r="AR44" s="827">
        <v>0</v>
      </c>
      <c r="AS44" s="1278"/>
      <c r="AT44" s="827">
        <v>0</v>
      </c>
      <c r="AU44" s="1278"/>
      <c r="AV44" s="827">
        <v>0</v>
      </c>
      <c r="AW44" s="1278"/>
      <c r="AX44" s="827">
        <v>0</v>
      </c>
      <c r="AY44" s="1278"/>
      <c r="AZ44" s="827">
        <v>0</v>
      </c>
      <c r="BA44" s="1278"/>
      <c r="BB44" s="1279">
        <v>0</v>
      </c>
      <c r="BC44" s="635"/>
      <c r="BD44" s="912"/>
      <c r="BE44" s="629"/>
      <c r="BF44" s="629"/>
      <c r="BG44" s="630" t="s">
        <v>397</v>
      </c>
      <c r="BH44" s="629"/>
      <c r="BI44" s="629"/>
      <c r="BJ44" s="1275"/>
      <c r="BK44" s="1276">
        <v>0</v>
      </c>
      <c r="BL44" s="1277"/>
      <c r="BM44" s="827">
        <v>0</v>
      </c>
      <c r="BN44" s="1278"/>
      <c r="BO44" s="827">
        <v>0</v>
      </c>
      <c r="BP44" s="1278"/>
      <c r="BQ44" s="827">
        <v>0</v>
      </c>
      <c r="BR44" s="1278"/>
      <c r="BS44" s="827">
        <v>0</v>
      </c>
      <c r="BT44" s="1278"/>
      <c r="BU44" s="827">
        <v>0</v>
      </c>
      <c r="BV44" s="1278"/>
      <c r="BW44" s="827">
        <v>0</v>
      </c>
      <c r="BX44" s="1278"/>
      <c r="BY44" s="827">
        <v>0</v>
      </c>
      <c r="BZ44" s="1278"/>
      <c r="CA44" s="827">
        <v>252</v>
      </c>
      <c r="CB44" s="1278"/>
      <c r="CC44" s="827">
        <v>153</v>
      </c>
      <c r="CD44" s="1278"/>
      <c r="CE44" s="827">
        <v>141</v>
      </c>
      <c r="CF44" s="1278"/>
      <c r="CG44" s="827">
        <v>129</v>
      </c>
      <c r="CH44" s="1278"/>
      <c r="CI44" s="827">
        <v>120</v>
      </c>
      <c r="CJ44" s="1278"/>
      <c r="CK44" s="827">
        <v>108</v>
      </c>
      <c r="CL44" s="1278"/>
      <c r="CM44" s="827">
        <v>102</v>
      </c>
      <c r="CN44" s="1278"/>
      <c r="CO44" s="827">
        <v>93</v>
      </c>
      <c r="CP44" s="1278"/>
      <c r="CQ44" s="827">
        <v>84</v>
      </c>
      <c r="CR44" s="1278"/>
      <c r="CS44" s="827">
        <v>78</v>
      </c>
      <c r="CT44" s="1278"/>
      <c r="CU44" s="827">
        <v>0</v>
      </c>
      <c r="CV44" s="1278"/>
      <c r="CW44" s="827">
        <v>0</v>
      </c>
      <c r="CX44" s="1278"/>
      <c r="CY44" s="827">
        <v>0</v>
      </c>
      <c r="CZ44" s="1278"/>
      <c r="DA44" s="827">
        <v>0</v>
      </c>
      <c r="DB44" s="1278"/>
      <c r="DC44" s="827">
        <v>0</v>
      </c>
      <c r="DD44" s="1278"/>
      <c r="DE44" s="1279">
        <v>0</v>
      </c>
      <c r="DF44" s="635"/>
      <c r="DG44" s="912"/>
      <c r="DH44" s="629"/>
      <c r="DI44" s="629"/>
      <c r="DJ44" s="630" t="s">
        <v>397</v>
      </c>
      <c r="DK44" s="629"/>
      <c r="DL44" s="629"/>
      <c r="DM44" s="1275"/>
      <c r="DN44" s="1276">
        <v>0</v>
      </c>
      <c r="DO44" s="1277"/>
      <c r="DP44" s="827">
        <v>0</v>
      </c>
      <c r="DQ44" s="1278"/>
      <c r="DR44" s="827">
        <v>0</v>
      </c>
      <c r="DS44" s="1278"/>
      <c r="DT44" s="827">
        <v>0</v>
      </c>
      <c r="DU44" s="1278"/>
      <c r="DV44" s="827">
        <v>0</v>
      </c>
      <c r="DW44" s="1278"/>
      <c r="DX44" s="827">
        <v>0</v>
      </c>
      <c r="DY44" s="1278"/>
      <c r="DZ44" s="827">
        <v>0</v>
      </c>
      <c r="EA44" s="1278"/>
      <c r="EB44" s="827">
        <v>0</v>
      </c>
      <c r="EC44" s="1278"/>
      <c r="ED44" s="827">
        <v>252</v>
      </c>
      <c r="EE44" s="1278"/>
      <c r="EF44" s="827">
        <v>153</v>
      </c>
      <c r="EG44" s="1278"/>
      <c r="EH44" s="827">
        <v>141</v>
      </c>
      <c r="EI44" s="1278"/>
      <c r="EJ44" s="827">
        <v>129</v>
      </c>
      <c r="EK44" s="1278"/>
      <c r="EL44" s="827">
        <v>120</v>
      </c>
      <c r="EM44" s="1278"/>
      <c r="EN44" s="827">
        <v>108</v>
      </c>
      <c r="EO44" s="1278"/>
      <c r="EP44" s="827">
        <v>102</v>
      </c>
      <c r="EQ44" s="1278"/>
      <c r="ER44" s="827">
        <v>93</v>
      </c>
      <c r="ES44" s="1278"/>
      <c r="ET44" s="827">
        <v>84</v>
      </c>
      <c r="EU44" s="1278"/>
      <c r="EV44" s="827">
        <v>78</v>
      </c>
      <c r="EW44" s="1278"/>
      <c r="EX44" s="827">
        <v>0</v>
      </c>
      <c r="EY44" s="1278"/>
      <c r="EZ44" s="827">
        <v>0</v>
      </c>
      <c r="FA44" s="1278"/>
      <c r="FB44" s="827">
        <v>0</v>
      </c>
      <c r="FC44" s="1278"/>
      <c r="FD44" s="827">
        <v>0</v>
      </c>
      <c r="FE44" s="1278"/>
      <c r="FF44" s="827">
        <v>0</v>
      </c>
      <c r="FG44" s="1278"/>
      <c r="FH44" s="1279">
        <v>0</v>
      </c>
      <c r="FI44" s="636"/>
      <c r="FJ44" s="913"/>
      <c r="FK44" s="629"/>
      <c r="FL44" s="629"/>
      <c r="FM44" s="630" t="s">
        <v>397</v>
      </c>
      <c r="FN44" s="629"/>
      <c r="FO44" s="629"/>
      <c r="FP44" s="1267"/>
      <c r="FQ44" s="1277"/>
      <c r="FR44" s="1276">
        <v>396</v>
      </c>
      <c r="FS44" s="1280"/>
      <c r="FT44" s="1277"/>
      <c r="FU44" s="1281">
        <v>396</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5.5</v>
      </c>
      <c r="GN44" s="914"/>
      <c r="GO44" s="914">
        <v>0</v>
      </c>
      <c r="GP44" s="914"/>
      <c r="GQ44" s="889">
        <v>5.5</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1836</v>
      </c>
      <c r="Y45" s="923"/>
      <c r="Z45" s="922">
        <v>1875</v>
      </c>
      <c r="AA45" s="923"/>
      <c r="AB45" s="922">
        <v>1969</v>
      </c>
      <c r="AC45" s="923"/>
      <c r="AD45" s="922">
        <v>1998</v>
      </c>
      <c r="AE45" s="923"/>
      <c r="AF45" s="922">
        <v>1968</v>
      </c>
      <c r="AG45" s="923"/>
      <c r="AH45" s="922">
        <v>1873</v>
      </c>
      <c r="AI45" s="923"/>
      <c r="AJ45" s="922">
        <v>1849</v>
      </c>
      <c r="AK45" s="923"/>
      <c r="AL45" s="922">
        <v>1809</v>
      </c>
      <c r="AM45" s="923"/>
      <c r="AN45" s="922">
        <v>1736</v>
      </c>
      <c r="AO45" s="923"/>
      <c r="AP45" s="922">
        <v>1661</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1899</v>
      </c>
      <c r="CB45" s="923"/>
      <c r="CC45" s="922">
        <v>1976</v>
      </c>
      <c r="CD45" s="923"/>
      <c r="CE45" s="922">
        <v>2084</v>
      </c>
      <c r="CF45" s="923"/>
      <c r="CG45" s="922">
        <v>2102</v>
      </c>
      <c r="CH45" s="923"/>
      <c r="CI45" s="922">
        <v>2037</v>
      </c>
      <c r="CJ45" s="923"/>
      <c r="CK45" s="922">
        <v>1874</v>
      </c>
      <c r="CL45" s="923"/>
      <c r="CM45" s="922">
        <v>1850</v>
      </c>
      <c r="CN45" s="923"/>
      <c r="CO45" s="922">
        <v>1802</v>
      </c>
      <c r="CP45" s="923"/>
      <c r="CQ45" s="922">
        <v>1747</v>
      </c>
      <c r="CR45" s="923"/>
      <c r="CS45" s="922">
        <v>1669</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2027</v>
      </c>
      <c r="EE45" s="923"/>
      <c r="EF45" s="922">
        <v>2138</v>
      </c>
      <c r="EG45" s="923"/>
      <c r="EH45" s="922">
        <v>2261</v>
      </c>
      <c r="EI45" s="923"/>
      <c r="EJ45" s="922">
        <v>2276</v>
      </c>
      <c r="EK45" s="923"/>
      <c r="EL45" s="922">
        <v>2186</v>
      </c>
      <c r="EM45" s="923"/>
      <c r="EN45" s="922">
        <v>2019</v>
      </c>
      <c r="EO45" s="923"/>
      <c r="EP45" s="922">
        <v>1833</v>
      </c>
      <c r="EQ45" s="923"/>
      <c r="ER45" s="922">
        <v>1698</v>
      </c>
      <c r="ES45" s="923"/>
      <c r="ET45" s="922">
        <v>1619</v>
      </c>
      <c r="EU45" s="923"/>
      <c r="EV45" s="922">
        <v>1540</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1330</v>
      </c>
      <c r="FS45" s="927"/>
      <c r="FT45" s="926"/>
      <c r="FU45" s="928">
        <v>1356</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399</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399</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401</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1928</v>
      </c>
      <c r="Y47" s="955"/>
      <c r="Z47" s="954">
        <v>1969</v>
      </c>
      <c r="AA47" s="955"/>
      <c r="AB47" s="954">
        <v>2067</v>
      </c>
      <c r="AC47" s="955"/>
      <c r="AD47" s="954">
        <v>2098</v>
      </c>
      <c r="AE47" s="955"/>
      <c r="AF47" s="954">
        <v>2066</v>
      </c>
      <c r="AG47" s="955"/>
      <c r="AH47" s="954">
        <v>1967</v>
      </c>
      <c r="AI47" s="955"/>
      <c r="AJ47" s="954">
        <v>1941</v>
      </c>
      <c r="AK47" s="955"/>
      <c r="AL47" s="954">
        <v>1899</v>
      </c>
      <c r="AM47" s="955"/>
      <c r="AN47" s="954">
        <v>1823</v>
      </c>
      <c r="AO47" s="955"/>
      <c r="AP47" s="954">
        <v>1744</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1994</v>
      </c>
      <c r="CB47" s="955"/>
      <c r="CC47" s="954">
        <v>2075</v>
      </c>
      <c r="CD47" s="955"/>
      <c r="CE47" s="954">
        <v>2188</v>
      </c>
      <c r="CF47" s="955"/>
      <c r="CG47" s="954">
        <v>2207</v>
      </c>
      <c r="CH47" s="955"/>
      <c r="CI47" s="954">
        <v>2139</v>
      </c>
      <c r="CJ47" s="955"/>
      <c r="CK47" s="954">
        <v>1968</v>
      </c>
      <c r="CL47" s="955"/>
      <c r="CM47" s="954">
        <v>1943</v>
      </c>
      <c r="CN47" s="955"/>
      <c r="CO47" s="954">
        <v>1892</v>
      </c>
      <c r="CP47" s="955"/>
      <c r="CQ47" s="954">
        <v>1834</v>
      </c>
      <c r="CR47" s="955"/>
      <c r="CS47" s="954">
        <v>1752</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2128</v>
      </c>
      <c r="EE47" s="955"/>
      <c r="EF47" s="954">
        <v>2245</v>
      </c>
      <c r="EG47" s="955"/>
      <c r="EH47" s="954">
        <v>2374</v>
      </c>
      <c r="EI47" s="955"/>
      <c r="EJ47" s="954">
        <v>2390</v>
      </c>
      <c r="EK47" s="955"/>
      <c r="EL47" s="954">
        <v>2295</v>
      </c>
      <c r="EM47" s="955"/>
      <c r="EN47" s="954">
        <v>2120</v>
      </c>
      <c r="EO47" s="955"/>
      <c r="EP47" s="954">
        <v>1925</v>
      </c>
      <c r="EQ47" s="955"/>
      <c r="ER47" s="954">
        <v>1783</v>
      </c>
      <c r="ES47" s="955"/>
      <c r="ET47" s="954">
        <v>1700</v>
      </c>
      <c r="EU47" s="955"/>
      <c r="EV47" s="954">
        <v>1617</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1330</v>
      </c>
      <c r="FS47" s="963"/>
      <c r="FT47" s="962"/>
      <c r="FU47" s="964">
        <v>1356</v>
      </c>
      <c r="FV47" s="965">
        <v>12</v>
      </c>
      <c r="FW47" s="954">
        <v>2098</v>
      </c>
      <c r="FX47" s="966">
        <v>12</v>
      </c>
      <c r="FY47" s="954">
        <v>2207</v>
      </c>
      <c r="FZ47" s="966">
        <v>12</v>
      </c>
      <c r="GA47" s="954">
        <v>2390</v>
      </c>
      <c r="GB47" s="967" t="s">
        <v>330</v>
      </c>
      <c r="GC47" s="954">
        <v>2390</v>
      </c>
      <c r="GD47" s="967" t="s">
        <v>332</v>
      </c>
      <c r="GE47" s="968">
        <v>1356</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c r="E49" s="738">
        <v>0</v>
      </c>
      <c r="F49" s="982"/>
      <c r="G49" s="740"/>
      <c r="H49" s="546"/>
      <c r="I49" s="741"/>
      <c r="J49" s="546"/>
      <c r="K49" s="741"/>
      <c r="L49" s="546"/>
      <c r="M49" s="741"/>
      <c r="N49" s="546"/>
      <c r="O49" s="741"/>
      <c r="P49" s="546"/>
      <c r="Q49" s="741"/>
      <c r="R49" s="546"/>
      <c r="S49" s="741"/>
      <c r="T49" s="546"/>
      <c r="U49" s="741"/>
      <c r="V49" s="546"/>
      <c r="W49" s="741"/>
      <c r="X49" s="546">
        <v>0</v>
      </c>
      <c r="Y49" s="741"/>
      <c r="Z49" s="546">
        <v>0</v>
      </c>
      <c r="AA49" s="741"/>
      <c r="AB49" s="546">
        <v>0</v>
      </c>
      <c r="AC49" s="741"/>
      <c r="AD49" s="546">
        <v>0</v>
      </c>
      <c r="AE49" s="741"/>
      <c r="AF49" s="546">
        <v>0</v>
      </c>
      <c r="AG49" s="741"/>
      <c r="AH49" s="546">
        <v>0</v>
      </c>
      <c r="AI49" s="741"/>
      <c r="AJ49" s="546">
        <v>0</v>
      </c>
      <c r="AK49" s="741"/>
      <c r="AL49" s="546">
        <v>0</v>
      </c>
      <c r="AM49" s="741"/>
      <c r="AN49" s="546">
        <v>0</v>
      </c>
      <c r="AO49" s="741"/>
      <c r="AP49" s="546">
        <v>0</v>
      </c>
      <c r="AQ49" s="741"/>
      <c r="AR49" s="546"/>
      <c r="AS49" s="741"/>
      <c r="AT49" s="546"/>
      <c r="AU49" s="741"/>
      <c r="AV49" s="546"/>
      <c r="AW49" s="741"/>
      <c r="AX49" s="546"/>
      <c r="AY49" s="983"/>
      <c r="AZ49" s="984"/>
      <c r="BA49" s="985"/>
      <c r="BB49" s="986"/>
      <c r="BC49" s="917"/>
      <c r="BD49" s="980"/>
      <c r="BE49" s="735" t="s">
        <v>372</v>
      </c>
      <c r="BF49" s="981"/>
      <c r="BG49" s="737"/>
      <c r="BH49" s="738">
        <v>0</v>
      </c>
      <c r="BI49" s="982"/>
      <c r="BJ49" s="740"/>
      <c r="BK49" s="546"/>
      <c r="BL49" s="741"/>
      <c r="BM49" s="546"/>
      <c r="BN49" s="741"/>
      <c r="BO49" s="546"/>
      <c r="BP49" s="741"/>
      <c r="BQ49" s="546"/>
      <c r="BR49" s="741"/>
      <c r="BS49" s="546"/>
      <c r="BT49" s="741"/>
      <c r="BU49" s="546"/>
      <c r="BV49" s="741"/>
      <c r="BW49" s="546"/>
      <c r="BX49" s="741"/>
      <c r="BY49" s="546"/>
      <c r="BZ49" s="741"/>
      <c r="CA49" s="546">
        <v>0</v>
      </c>
      <c r="CB49" s="741"/>
      <c r="CC49" s="546">
        <v>0</v>
      </c>
      <c r="CD49" s="741"/>
      <c r="CE49" s="546">
        <v>0</v>
      </c>
      <c r="CF49" s="741"/>
      <c r="CG49" s="546">
        <v>0</v>
      </c>
      <c r="CH49" s="741"/>
      <c r="CI49" s="546">
        <v>0</v>
      </c>
      <c r="CJ49" s="741"/>
      <c r="CK49" s="546">
        <v>0</v>
      </c>
      <c r="CL49" s="741"/>
      <c r="CM49" s="546">
        <v>0</v>
      </c>
      <c r="CN49" s="741"/>
      <c r="CO49" s="546">
        <v>0</v>
      </c>
      <c r="CP49" s="741"/>
      <c r="CQ49" s="546">
        <v>0</v>
      </c>
      <c r="CR49" s="741"/>
      <c r="CS49" s="546">
        <v>0</v>
      </c>
      <c r="CT49" s="741"/>
      <c r="CU49" s="546"/>
      <c r="CV49" s="741"/>
      <c r="CW49" s="546"/>
      <c r="CX49" s="741"/>
      <c r="CY49" s="546"/>
      <c r="CZ49" s="741"/>
      <c r="DA49" s="546"/>
      <c r="DB49" s="983"/>
      <c r="DC49" s="984"/>
      <c r="DD49" s="985"/>
      <c r="DE49" s="986"/>
      <c r="DF49" s="917"/>
      <c r="DG49" s="980"/>
      <c r="DH49" s="735" t="s">
        <v>372</v>
      </c>
      <c r="DI49" s="981"/>
      <c r="DJ49" s="737"/>
      <c r="DK49" s="738">
        <v>0</v>
      </c>
      <c r="DL49" s="982"/>
      <c r="DM49" s="740"/>
      <c r="DN49" s="546"/>
      <c r="DO49" s="741"/>
      <c r="DP49" s="546"/>
      <c r="DQ49" s="741"/>
      <c r="DR49" s="546"/>
      <c r="DS49" s="741"/>
      <c r="DT49" s="546"/>
      <c r="DU49" s="741"/>
      <c r="DV49" s="546"/>
      <c r="DW49" s="741"/>
      <c r="DX49" s="546"/>
      <c r="DY49" s="741"/>
      <c r="DZ49" s="546"/>
      <c r="EA49" s="741"/>
      <c r="EB49" s="546"/>
      <c r="EC49" s="741"/>
      <c r="ED49" s="546">
        <v>0</v>
      </c>
      <c r="EE49" s="741"/>
      <c r="EF49" s="546">
        <v>0</v>
      </c>
      <c r="EG49" s="741"/>
      <c r="EH49" s="546">
        <v>0</v>
      </c>
      <c r="EI49" s="741"/>
      <c r="EJ49" s="546">
        <v>0</v>
      </c>
      <c r="EK49" s="741"/>
      <c r="EL49" s="546">
        <v>0</v>
      </c>
      <c r="EM49" s="741"/>
      <c r="EN49" s="546">
        <v>0</v>
      </c>
      <c r="EO49" s="741"/>
      <c r="EP49" s="546">
        <v>0</v>
      </c>
      <c r="EQ49" s="741"/>
      <c r="ER49" s="546">
        <v>0</v>
      </c>
      <c r="ES49" s="741"/>
      <c r="ET49" s="546">
        <v>0</v>
      </c>
      <c r="EU49" s="741"/>
      <c r="EV49" s="546">
        <v>0</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620</v>
      </c>
      <c r="GV50" s="567"/>
      <c r="GW50" s="567"/>
      <c r="GX50" s="567"/>
      <c r="GY50" s="602"/>
      <c r="GZ50" s="566"/>
      <c r="HA50" s="602">
        <v>13.2</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13.2</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0</v>
      </c>
      <c r="Y52" s="1038"/>
      <c r="Z52" s="1037">
        <v>0</v>
      </c>
      <c r="AA52" s="1038"/>
      <c r="AB52" s="1037">
        <v>0</v>
      </c>
      <c r="AC52" s="1038"/>
      <c r="AD52" s="1037">
        <v>0</v>
      </c>
      <c r="AE52" s="1038"/>
      <c r="AF52" s="1037">
        <v>0</v>
      </c>
      <c r="AG52" s="1038"/>
      <c r="AH52" s="1037">
        <v>0</v>
      </c>
      <c r="AI52" s="1038"/>
      <c r="AJ52" s="1037">
        <v>0</v>
      </c>
      <c r="AK52" s="1038"/>
      <c r="AL52" s="1037">
        <v>0</v>
      </c>
      <c r="AM52" s="1038"/>
      <c r="AN52" s="1037">
        <v>0</v>
      </c>
      <c r="AO52" s="1038"/>
      <c r="AP52" s="1037">
        <v>0</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0</v>
      </c>
      <c r="CB52" s="1038"/>
      <c r="CC52" s="1037">
        <v>0</v>
      </c>
      <c r="CD52" s="1038"/>
      <c r="CE52" s="1037">
        <v>0</v>
      </c>
      <c r="CF52" s="1038"/>
      <c r="CG52" s="1037">
        <v>0</v>
      </c>
      <c r="CH52" s="1038"/>
      <c r="CI52" s="1037">
        <v>0</v>
      </c>
      <c r="CJ52" s="1038"/>
      <c r="CK52" s="1037">
        <v>0</v>
      </c>
      <c r="CL52" s="1038"/>
      <c r="CM52" s="1037">
        <v>0</v>
      </c>
      <c r="CN52" s="1038"/>
      <c r="CO52" s="1037">
        <v>0</v>
      </c>
      <c r="CP52" s="1038"/>
      <c r="CQ52" s="1037">
        <v>0</v>
      </c>
      <c r="CR52" s="1038"/>
      <c r="CS52" s="1037">
        <v>0</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0</v>
      </c>
      <c r="EE52" s="1038"/>
      <c r="EF52" s="1037">
        <v>0</v>
      </c>
      <c r="EG52" s="1038"/>
      <c r="EH52" s="1037">
        <v>0</v>
      </c>
      <c r="EI52" s="1038"/>
      <c r="EJ52" s="1037">
        <v>0</v>
      </c>
      <c r="EK52" s="1038"/>
      <c r="EL52" s="1037">
        <v>0</v>
      </c>
      <c r="EM52" s="1038"/>
      <c r="EN52" s="1037">
        <v>0</v>
      </c>
      <c r="EO52" s="1038"/>
      <c r="EP52" s="1037">
        <v>0</v>
      </c>
      <c r="EQ52" s="1038"/>
      <c r="ER52" s="1037">
        <v>0</v>
      </c>
      <c r="ES52" s="1038"/>
      <c r="ET52" s="1037">
        <v>0</v>
      </c>
      <c r="EU52" s="1038"/>
      <c r="EV52" s="1037">
        <v>0</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12</v>
      </c>
      <c r="FW52" s="1048">
        <v>0</v>
      </c>
      <c r="FX52" s="1049">
        <v>12</v>
      </c>
      <c r="FY52" s="1048">
        <v>0</v>
      </c>
      <c r="FZ52" s="1049">
        <v>12</v>
      </c>
      <c r="GA52" s="1048">
        <v>0</v>
      </c>
      <c r="GB52" s="1050" t="s">
        <v>330</v>
      </c>
      <c r="GC52" s="1051">
        <v>0</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1928</v>
      </c>
      <c r="Y53" s="1065"/>
      <c r="Z53" s="1064">
        <v>1969</v>
      </c>
      <c r="AA53" s="1065"/>
      <c r="AB53" s="1064">
        <v>2067</v>
      </c>
      <c r="AC53" s="1065"/>
      <c r="AD53" s="1064">
        <v>2098</v>
      </c>
      <c r="AE53" s="1065"/>
      <c r="AF53" s="1064">
        <v>2066</v>
      </c>
      <c r="AG53" s="1065"/>
      <c r="AH53" s="1064">
        <v>1967</v>
      </c>
      <c r="AI53" s="1065"/>
      <c r="AJ53" s="1064">
        <v>1941</v>
      </c>
      <c r="AK53" s="1065"/>
      <c r="AL53" s="1064">
        <v>1899</v>
      </c>
      <c r="AM53" s="1065"/>
      <c r="AN53" s="1064">
        <v>1823</v>
      </c>
      <c r="AO53" s="1065"/>
      <c r="AP53" s="1064">
        <v>1744</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1994</v>
      </c>
      <c r="CB53" s="1065"/>
      <c r="CC53" s="1064">
        <v>2075</v>
      </c>
      <c r="CD53" s="1065"/>
      <c r="CE53" s="1064">
        <v>2188</v>
      </c>
      <c r="CF53" s="1065"/>
      <c r="CG53" s="1064">
        <v>2207</v>
      </c>
      <c r="CH53" s="1065"/>
      <c r="CI53" s="1064">
        <v>2139</v>
      </c>
      <c r="CJ53" s="1065"/>
      <c r="CK53" s="1064">
        <v>1968</v>
      </c>
      <c r="CL53" s="1065"/>
      <c r="CM53" s="1064">
        <v>1943</v>
      </c>
      <c r="CN53" s="1065"/>
      <c r="CO53" s="1064">
        <v>1892</v>
      </c>
      <c r="CP53" s="1065"/>
      <c r="CQ53" s="1064">
        <v>1834</v>
      </c>
      <c r="CR53" s="1065"/>
      <c r="CS53" s="1064">
        <v>1752</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2128</v>
      </c>
      <c r="EE53" s="1065"/>
      <c r="EF53" s="1064">
        <v>2245</v>
      </c>
      <c r="EG53" s="1065"/>
      <c r="EH53" s="1064">
        <v>2374</v>
      </c>
      <c r="EI53" s="1065"/>
      <c r="EJ53" s="1064">
        <v>2390</v>
      </c>
      <c r="EK53" s="1065"/>
      <c r="EL53" s="1064">
        <v>2295</v>
      </c>
      <c r="EM53" s="1065"/>
      <c r="EN53" s="1064">
        <v>2120</v>
      </c>
      <c r="EO53" s="1065"/>
      <c r="EP53" s="1064">
        <v>1925</v>
      </c>
      <c r="EQ53" s="1065"/>
      <c r="ER53" s="1064">
        <v>1783</v>
      </c>
      <c r="ES53" s="1065"/>
      <c r="ET53" s="1064">
        <v>1700</v>
      </c>
      <c r="EU53" s="1065"/>
      <c r="EV53" s="1064">
        <v>1617</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1330</v>
      </c>
      <c r="FS53" s="1072"/>
      <c r="FT53" s="1071"/>
      <c r="FU53" s="1073">
        <v>1356</v>
      </c>
      <c r="FV53" s="1074">
        <v>12</v>
      </c>
      <c r="FW53" s="1075">
        <v>2098</v>
      </c>
      <c r="FX53" s="1076">
        <v>12</v>
      </c>
      <c r="FY53" s="1075">
        <v>2207</v>
      </c>
      <c r="FZ53" s="1076">
        <v>12</v>
      </c>
      <c r="GA53" s="1075">
        <v>2390</v>
      </c>
      <c r="GB53" s="1077" t="s">
        <v>330</v>
      </c>
      <c r="GC53" s="1075">
        <v>2390</v>
      </c>
      <c r="GD53" s="1077" t="s">
        <v>332</v>
      </c>
      <c r="GE53" s="1078">
        <v>1356</v>
      </c>
      <c r="GF53" s="671"/>
      <c r="GG53" s="969"/>
      <c r="GH53" s="969"/>
      <c r="GI53" s="969"/>
      <c r="GJ53" s="932"/>
      <c r="GK53" s="404"/>
      <c r="GL53" s="1079">
        <v>10</v>
      </c>
      <c r="GM53" s="1080">
        <v>1</v>
      </c>
      <c r="GN53" s="1081">
        <v>0.92</v>
      </c>
      <c r="GO53" s="1082">
        <v>5.0999999999999996</v>
      </c>
      <c r="GP53" s="1082">
        <v>0</v>
      </c>
      <c r="GQ53" s="1083">
        <v>5.0999999999999996</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64.3</v>
      </c>
      <c r="Y54" s="1092"/>
      <c r="Z54" s="1091">
        <v>65.599999999999994</v>
      </c>
      <c r="AA54" s="1092"/>
      <c r="AB54" s="1091">
        <v>68.900000000000006</v>
      </c>
      <c r="AC54" s="1092"/>
      <c r="AD54" s="1091">
        <v>69.900000000000006</v>
      </c>
      <c r="AE54" s="1092"/>
      <c r="AF54" s="1091">
        <v>68.900000000000006</v>
      </c>
      <c r="AG54" s="1092"/>
      <c r="AH54" s="1091">
        <v>65.599999999999994</v>
      </c>
      <c r="AI54" s="1092"/>
      <c r="AJ54" s="1091">
        <v>64.7</v>
      </c>
      <c r="AK54" s="1092"/>
      <c r="AL54" s="1091">
        <v>63.3</v>
      </c>
      <c r="AM54" s="1092"/>
      <c r="AN54" s="1091">
        <v>60.8</v>
      </c>
      <c r="AO54" s="1092"/>
      <c r="AP54" s="1091">
        <v>58.1</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66.5</v>
      </c>
      <c r="CB54" s="1092"/>
      <c r="CC54" s="1091">
        <v>69.2</v>
      </c>
      <c r="CD54" s="1092"/>
      <c r="CE54" s="1091">
        <v>72.900000000000006</v>
      </c>
      <c r="CF54" s="1092"/>
      <c r="CG54" s="1091">
        <v>73.599999999999994</v>
      </c>
      <c r="CH54" s="1092"/>
      <c r="CI54" s="1091">
        <v>71.3</v>
      </c>
      <c r="CJ54" s="1092"/>
      <c r="CK54" s="1091">
        <v>65.599999999999994</v>
      </c>
      <c r="CL54" s="1092"/>
      <c r="CM54" s="1091">
        <v>64.8</v>
      </c>
      <c r="CN54" s="1092"/>
      <c r="CO54" s="1091">
        <v>63.1</v>
      </c>
      <c r="CP54" s="1092"/>
      <c r="CQ54" s="1091">
        <v>61.1</v>
      </c>
      <c r="CR54" s="1092"/>
      <c r="CS54" s="1091">
        <v>58.4</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70.900000000000006</v>
      </c>
      <c r="EE54" s="1092"/>
      <c r="EF54" s="1091">
        <v>74.8</v>
      </c>
      <c r="EG54" s="1092"/>
      <c r="EH54" s="1091">
        <v>79.099999999999994</v>
      </c>
      <c r="EI54" s="1092"/>
      <c r="EJ54" s="1091">
        <v>79.7</v>
      </c>
      <c r="EK54" s="1092"/>
      <c r="EL54" s="1091">
        <v>76.5</v>
      </c>
      <c r="EM54" s="1092"/>
      <c r="EN54" s="1091">
        <v>70.7</v>
      </c>
      <c r="EO54" s="1092"/>
      <c r="EP54" s="1091">
        <v>64.2</v>
      </c>
      <c r="EQ54" s="1092"/>
      <c r="ER54" s="1091">
        <v>59.4</v>
      </c>
      <c r="ES54" s="1092"/>
      <c r="ET54" s="1091">
        <v>56.7</v>
      </c>
      <c r="EU54" s="1092"/>
      <c r="EV54" s="1091">
        <v>53.9</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44.3</v>
      </c>
      <c r="FS54" s="1095"/>
      <c r="FT54" s="1092"/>
      <c r="FU54" s="1096">
        <v>45.2</v>
      </c>
      <c r="FV54" s="1095"/>
      <c r="FW54" s="1091">
        <f>IF(面積=0,0,ROUND(FW53/面積,1))</f>
        <v>69.900000000000006</v>
      </c>
      <c r="FX54" s="1095"/>
      <c r="FY54" s="1091">
        <f>IF(面積=0,0,ROUND(FY53/面積,1))</f>
        <v>73.599999999999994</v>
      </c>
      <c r="FZ54" s="1095"/>
      <c r="GA54" s="1091">
        <f>IF(面積=0,0,ROUND(GA53/面積,1))</f>
        <v>79.7</v>
      </c>
      <c r="GB54" s="1095"/>
      <c r="GC54" s="1091">
        <f>IF(面積=0,0,ROUND(GC53/面積,1))</f>
        <v>79.7</v>
      </c>
      <c r="GD54" s="1095"/>
      <c r="GE54" s="1093">
        <f>IF(面積=0,0,ROUND(GE53/面積,1))</f>
        <v>45.2</v>
      </c>
      <c r="GF54" s="671"/>
      <c r="GG54" s="916"/>
      <c r="GH54" s="916"/>
      <c r="GI54" s="916"/>
      <c r="GJ54" s="567"/>
      <c r="GK54" s="566"/>
      <c r="GL54" s="1079">
        <v>11</v>
      </c>
      <c r="GM54" s="1080">
        <v>2</v>
      </c>
      <c r="GN54" s="1081">
        <v>0.85</v>
      </c>
      <c r="GO54" s="1082">
        <v>4.7</v>
      </c>
      <c r="GP54" s="1082">
        <v>0</v>
      </c>
      <c r="GQ54" s="1083">
        <v>4.7</v>
      </c>
      <c r="GR54" s="517"/>
      <c r="GS54" s="567"/>
      <c r="GT54" s="840"/>
      <c r="GU54" s="1097" t="s">
        <v>486</v>
      </c>
      <c r="GV54" s="1097"/>
      <c r="GW54" s="1097"/>
      <c r="GX54" s="1097"/>
      <c r="GY54" s="758"/>
      <c r="GZ54" s="1098"/>
      <c r="HA54" s="1099">
        <v>13.2</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4.3</v>
      </c>
      <c r="GP55" s="1082">
        <v>0</v>
      </c>
      <c r="GQ55" s="1083">
        <v>4.3</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611</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4</v>
      </c>
      <c r="GP56" s="1082">
        <v>0</v>
      </c>
      <c r="GQ56" s="1083">
        <v>4</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3.6</v>
      </c>
      <c r="GP57" s="1082">
        <v>0</v>
      </c>
      <c r="GQ57" s="1083">
        <v>3.6</v>
      </c>
      <c r="GR57" s="932"/>
      <c r="GS57" s="516"/>
      <c r="GT57" s="1243"/>
      <c r="GU57" s="565"/>
      <c r="GV57" s="565"/>
      <c r="GW57" s="487"/>
      <c r="GX57" s="1246"/>
      <c r="GY57" s="566"/>
      <c r="GZ57" s="487"/>
      <c r="HA57" s="565"/>
      <c r="HB57" s="487"/>
      <c r="HC57" s="1031"/>
    </row>
    <row r="58" spans="1:212" ht="20.100000000000001" customHeight="1">
      <c r="A58" s="1141" t="s">
        <v>785</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0</v>
      </c>
      <c r="Y58" s="1147"/>
      <c r="Z58" s="1146">
        <v>0</v>
      </c>
      <c r="AA58" s="1147"/>
      <c r="AB58" s="1146">
        <v>0</v>
      </c>
      <c r="AC58" s="1147"/>
      <c r="AD58" s="1146">
        <v>0</v>
      </c>
      <c r="AE58" s="1147"/>
      <c r="AF58" s="1146">
        <v>0</v>
      </c>
      <c r="AG58" s="1147"/>
      <c r="AH58" s="1146">
        <v>0</v>
      </c>
      <c r="AI58" s="1147"/>
      <c r="AJ58" s="1146">
        <v>0</v>
      </c>
      <c r="AK58" s="1147"/>
      <c r="AL58" s="1146">
        <v>0</v>
      </c>
      <c r="AM58" s="1147"/>
      <c r="AN58" s="1146">
        <v>0</v>
      </c>
      <c r="AO58" s="1147"/>
      <c r="AP58" s="1146">
        <v>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0</v>
      </c>
      <c r="CB58" s="1147"/>
      <c r="CC58" s="1146">
        <v>0</v>
      </c>
      <c r="CD58" s="1147"/>
      <c r="CE58" s="1146">
        <v>0</v>
      </c>
      <c r="CF58" s="1147"/>
      <c r="CG58" s="1146">
        <v>0</v>
      </c>
      <c r="CH58" s="1147"/>
      <c r="CI58" s="1146">
        <v>0</v>
      </c>
      <c r="CJ58" s="1147"/>
      <c r="CK58" s="1146">
        <v>0</v>
      </c>
      <c r="CL58" s="1147"/>
      <c r="CM58" s="1146">
        <v>0</v>
      </c>
      <c r="CN58" s="1147"/>
      <c r="CO58" s="1146">
        <v>0</v>
      </c>
      <c r="CP58" s="1147"/>
      <c r="CQ58" s="1146">
        <v>0</v>
      </c>
      <c r="CR58" s="1147"/>
      <c r="CS58" s="1146">
        <v>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0</v>
      </c>
      <c r="EE58" s="1147"/>
      <c r="EF58" s="1146">
        <v>0</v>
      </c>
      <c r="EG58" s="1147"/>
      <c r="EH58" s="1146">
        <v>0</v>
      </c>
      <c r="EI58" s="1147"/>
      <c r="EJ58" s="1146">
        <v>0</v>
      </c>
      <c r="EK58" s="1147"/>
      <c r="EL58" s="1146">
        <v>0</v>
      </c>
      <c r="EM58" s="1147"/>
      <c r="EN58" s="1146">
        <v>0</v>
      </c>
      <c r="EO58" s="1147"/>
      <c r="EP58" s="1146">
        <v>0</v>
      </c>
      <c r="EQ58" s="1147"/>
      <c r="ER58" s="1146">
        <v>0</v>
      </c>
      <c r="ES58" s="1147"/>
      <c r="ET58" s="1146">
        <v>0</v>
      </c>
      <c r="EU58" s="1147"/>
      <c r="EV58" s="1146">
        <v>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0</v>
      </c>
      <c r="FS58" s="1150"/>
      <c r="FT58" s="1149"/>
      <c r="FU58" s="1151">
        <v>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3.4</v>
      </c>
      <c r="GP58" s="1082">
        <v>0</v>
      </c>
      <c r="GQ58" s="1083">
        <v>3.4</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0</v>
      </c>
      <c r="X59" s="574">
        <v>0</v>
      </c>
      <c r="Y59" s="1163">
        <v>0</v>
      </c>
      <c r="Z59" s="574">
        <v>0</v>
      </c>
      <c r="AA59" s="1163">
        <v>0</v>
      </c>
      <c r="AB59" s="574">
        <v>0</v>
      </c>
      <c r="AC59" s="1163">
        <v>0</v>
      </c>
      <c r="AD59" s="574">
        <v>0</v>
      </c>
      <c r="AE59" s="1163">
        <v>0</v>
      </c>
      <c r="AF59" s="574">
        <v>0</v>
      </c>
      <c r="AG59" s="1163">
        <v>0</v>
      </c>
      <c r="AH59" s="574">
        <v>0</v>
      </c>
      <c r="AI59" s="1163">
        <v>0</v>
      </c>
      <c r="AJ59" s="574">
        <v>0</v>
      </c>
      <c r="AK59" s="1163">
        <v>0</v>
      </c>
      <c r="AL59" s="574">
        <v>0</v>
      </c>
      <c r="AM59" s="1163">
        <v>0</v>
      </c>
      <c r="AN59" s="574">
        <v>0</v>
      </c>
      <c r="AO59" s="1163">
        <v>0</v>
      </c>
      <c r="AP59" s="574">
        <v>0</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0</v>
      </c>
      <c r="CA59" s="574">
        <v>0</v>
      </c>
      <c r="CB59" s="1163">
        <v>0</v>
      </c>
      <c r="CC59" s="574">
        <v>0</v>
      </c>
      <c r="CD59" s="1163">
        <v>0</v>
      </c>
      <c r="CE59" s="574">
        <v>0</v>
      </c>
      <c r="CF59" s="1163">
        <v>0</v>
      </c>
      <c r="CG59" s="574">
        <v>0</v>
      </c>
      <c r="CH59" s="1163">
        <v>0</v>
      </c>
      <c r="CI59" s="574">
        <v>0</v>
      </c>
      <c r="CJ59" s="1163">
        <v>0</v>
      </c>
      <c r="CK59" s="574">
        <v>0</v>
      </c>
      <c r="CL59" s="1163">
        <v>0</v>
      </c>
      <c r="CM59" s="574">
        <v>0</v>
      </c>
      <c r="CN59" s="1163">
        <v>0</v>
      </c>
      <c r="CO59" s="574">
        <v>0</v>
      </c>
      <c r="CP59" s="1163">
        <v>0</v>
      </c>
      <c r="CQ59" s="574">
        <v>0</v>
      </c>
      <c r="CR59" s="1163">
        <v>0</v>
      </c>
      <c r="CS59" s="574">
        <v>0</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0</v>
      </c>
      <c r="ED59" s="574">
        <v>0</v>
      </c>
      <c r="EE59" s="1163">
        <v>0</v>
      </c>
      <c r="EF59" s="574">
        <v>0</v>
      </c>
      <c r="EG59" s="1163">
        <v>0</v>
      </c>
      <c r="EH59" s="574">
        <v>0</v>
      </c>
      <c r="EI59" s="1163">
        <v>0</v>
      </c>
      <c r="EJ59" s="574">
        <v>0</v>
      </c>
      <c r="EK59" s="1163">
        <v>0</v>
      </c>
      <c r="EL59" s="574">
        <v>0</v>
      </c>
      <c r="EM59" s="1163">
        <v>0</v>
      </c>
      <c r="EN59" s="574">
        <v>0</v>
      </c>
      <c r="EO59" s="1163">
        <v>0</v>
      </c>
      <c r="EP59" s="574">
        <v>0</v>
      </c>
      <c r="EQ59" s="1163">
        <v>0</v>
      </c>
      <c r="ER59" s="574">
        <v>0</v>
      </c>
      <c r="ES59" s="1163">
        <v>0</v>
      </c>
      <c r="ET59" s="574">
        <v>0</v>
      </c>
      <c r="EU59" s="1163">
        <v>0</v>
      </c>
      <c r="EV59" s="574">
        <v>0</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c r="FN59" s="1161"/>
      <c r="FO59" s="1000"/>
      <c r="FP59" s="612"/>
      <c r="FQ59" s="1164">
        <v>0</v>
      </c>
      <c r="FR59" s="1165">
        <v>0</v>
      </c>
      <c r="FS59" s="1166"/>
      <c r="FT59" s="1164">
        <v>0</v>
      </c>
      <c r="FU59" s="1167">
        <v>0</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3.1</v>
      </c>
      <c r="GP59" s="1082">
        <v>0</v>
      </c>
      <c r="GQ59" s="1083">
        <v>3.1</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2.8</v>
      </c>
      <c r="GP60" s="1082">
        <v>0</v>
      </c>
      <c r="GQ60" s="1083">
        <v>2.8</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1928</v>
      </c>
      <c r="Y61" s="1184"/>
      <c r="Z61" s="1185">
        <v>1969</v>
      </c>
      <c r="AA61" s="1184"/>
      <c r="AB61" s="1185">
        <v>2067</v>
      </c>
      <c r="AC61" s="1184"/>
      <c r="AD61" s="1185">
        <v>2098</v>
      </c>
      <c r="AE61" s="1184"/>
      <c r="AF61" s="1185">
        <v>2066</v>
      </c>
      <c r="AG61" s="1184"/>
      <c r="AH61" s="1185">
        <v>1967</v>
      </c>
      <c r="AI61" s="1184"/>
      <c r="AJ61" s="1185">
        <v>1941</v>
      </c>
      <c r="AK61" s="1184"/>
      <c r="AL61" s="1185">
        <v>1899</v>
      </c>
      <c r="AM61" s="1184"/>
      <c r="AN61" s="1185">
        <v>1823</v>
      </c>
      <c r="AO61" s="1184"/>
      <c r="AP61" s="1185">
        <v>1744</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1994</v>
      </c>
      <c r="CB61" s="1184"/>
      <c r="CC61" s="1185">
        <v>2075</v>
      </c>
      <c r="CD61" s="1184"/>
      <c r="CE61" s="1185">
        <v>2188</v>
      </c>
      <c r="CF61" s="1184"/>
      <c r="CG61" s="1185">
        <v>2207</v>
      </c>
      <c r="CH61" s="1184"/>
      <c r="CI61" s="1185">
        <v>2139</v>
      </c>
      <c r="CJ61" s="1184"/>
      <c r="CK61" s="1185">
        <v>1968</v>
      </c>
      <c r="CL61" s="1184"/>
      <c r="CM61" s="1185">
        <v>1943</v>
      </c>
      <c r="CN61" s="1184"/>
      <c r="CO61" s="1185">
        <v>1892</v>
      </c>
      <c r="CP61" s="1184"/>
      <c r="CQ61" s="1185">
        <v>1834</v>
      </c>
      <c r="CR61" s="1184"/>
      <c r="CS61" s="1185">
        <v>1752</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2128</v>
      </c>
      <c r="EE61" s="1184"/>
      <c r="EF61" s="1185">
        <v>2245</v>
      </c>
      <c r="EG61" s="1184"/>
      <c r="EH61" s="1185">
        <v>2374</v>
      </c>
      <c r="EI61" s="1184"/>
      <c r="EJ61" s="1185">
        <v>2390</v>
      </c>
      <c r="EK61" s="1184"/>
      <c r="EL61" s="1185">
        <v>2295</v>
      </c>
      <c r="EM61" s="1184"/>
      <c r="EN61" s="1185">
        <v>2120</v>
      </c>
      <c r="EO61" s="1184"/>
      <c r="EP61" s="1185">
        <v>1925</v>
      </c>
      <c r="EQ61" s="1184"/>
      <c r="ER61" s="1185">
        <v>1783</v>
      </c>
      <c r="ES61" s="1184"/>
      <c r="ET61" s="1185">
        <v>1700</v>
      </c>
      <c r="EU61" s="1184"/>
      <c r="EV61" s="1185">
        <v>1617</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1330</v>
      </c>
      <c r="FS61" s="1190"/>
      <c r="FT61" s="1188"/>
      <c r="FU61" s="1191">
        <v>1356</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2.6</v>
      </c>
      <c r="GP61" s="1082">
        <v>0</v>
      </c>
      <c r="GQ61" s="1083">
        <v>2.6</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c r="FN66" s="1221"/>
      <c r="FO66" s="1181"/>
      <c r="FP66" s="1187"/>
      <c r="FQ66" s="1222"/>
      <c r="FR66" s="1223">
        <v>0</v>
      </c>
      <c r="FS66" s="1190"/>
      <c r="FT66" s="1222"/>
      <c r="FU66" s="1224">
        <v>0</v>
      </c>
      <c r="FV66" s="1225"/>
      <c r="FW66" s="1226"/>
      <c r="FX66" s="1226"/>
      <c r="FY66" s="1226"/>
      <c r="FZ66" s="1226"/>
      <c r="GA66" s="1226"/>
      <c r="GB66" s="1226"/>
      <c r="GC66" s="1227"/>
      <c r="GD66" s="1190"/>
      <c r="GE66" s="1228">
        <v>0</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f>$G68</f>
        <v>0</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f>$G68</f>
        <v>0</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589</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545</v>
      </c>
      <c r="B3" s="385">
        <v>207</v>
      </c>
      <c r="C3" s="386" t="s">
        <v>489</v>
      </c>
      <c r="D3" s="387" t="s">
        <v>637</v>
      </c>
      <c r="E3" s="387"/>
      <c r="F3" s="387"/>
      <c r="G3" s="387"/>
      <c r="H3" s="387"/>
      <c r="I3" s="387"/>
      <c r="J3" s="388"/>
      <c r="K3" s="389" t="s">
        <v>338</v>
      </c>
      <c r="L3" s="390"/>
      <c r="M3" s="389" t="s">
        <v>339</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207</v>
      </c>
      <c r="BF3" s="386" t="s">
        <v>335</v>
      </c>
      <c r="BG3" s="398" t="s">
        <v>634</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207</v>
      </c>
      <c r="DI3" s="386" t="s">
        <v>335</v>
      </c>
      <c r="DJ3" s="398" t="s">
        <v>634</v>
      </c>
      <c r="DK3" s="398"/>
      <c r="DL3" s="398"/>
      <c r="DM3" s="398"/>
      <c r="DN3" s="398"/>
      <c r="DO3" s="398"/>
      <c r="DP3" s="399"/>
      <c r="DQ3" s="389" t="s">
        <v>638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207</v>
      </c>
      <c r="FL3" s="386" t="s">
        <v>335</v>
      </c>
      <c r="FM3" s="398" t="s">
        <v>634</v>
      </c>
      <c r="FN3" s="398"/>
      <c r="FO3" s="398"/>
      <c r="FP3" s="398"/>
      <c r="FQ3" s="398"/>
      <c r="FR3" s="398"/>
      <c r="FS3" s="399"/>
      <c r="FT3" s="389" t="s">
        <v>338</v>
      </c>
      <c r="FU3" s="390"/>
      <c r="FV3" s="389" t="s">
        <v>339</v>
      </c>
      <c r="FW3" s="390"/>
      <c r="FX3" s="391" t="s">
        <v>806</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108</v>
      </c>
      <c r="E5" s="433" t="s">
        <v>350</v>
      </c>
      <c r="F5" s="434">
        <v>2.7</v>
      </c>
      <c r="G5" s="435" t="s">
        <v>351</v>
      </c>
      <c r="H5" s="436"/>
      <c r="I5" s="437">
        <v>291.60000000000002</v>
      </c>
      <c r="J5" s="438"/>
      <c r="K5" s="439">
        <v>480</v>
      </c>
      <c r="L5" s="440"/>
      <c r="M5" s="439">
        <v>90</v>
      </c>
      <c r="N5" s="440"/>
      <c r="O5" s="1470" t="s">
        <v>778</v>
      </c>
      <c r="P5" s="441"/>
      <c r="Q5" s="1471" t="s">
        <v>816</v>
      </c>
      <c r="R5" s="442"/>
      <c r="S5" s="1472" t="s">
        <v>817</v>
      </c>
      <c r="T5" s="443"/>
      <c r="U5" s="1473" t="s">
        <v>818</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108</v>
      </c>
      <c r="BH5" s="433" t="s">
        <v>350</v>
      </c>
      <c r="BI5" s="434">
        <v>2.7</v>
      </c>
      <c r="BJ5" s="435" t="s">
        <v>351</v>
      </c>
      <c r="BK5" s="436"/>
      <c r="BL5" s="437">
        <v>291.60000000000002</v>
      </c>
      <c r="BM5" s="438"/>
      <c r="BN5" s="439">
        <v>480</v>
      </c>
      <c r="BO5" s="440"/>
      <c r="BP5" s="439">
        <v>90</v>
      </c>
      <c r="BQ5" s="440"/>
      <c r="BR5" s="1470" t="s">
        <v>762</v>
      </c>
      <c r="BS5" s="441"/>
      <c r="BT5" s="1471" t="s">
        <v>779</v>
      </c>
      <c r="BU5" s="442"/>
      <c r="BV5" s="1472" t="s">
        <v>819</v>
      </c>
      <c r="BW5" s="443"/>
      <c r="BX5" s="1473" t="s">
        <v>818</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108</v>
      </c>
      <c r="DK5" s="433" t="s">
        <v>350</v>
      </c>
      <c r="DL5" s="434">
        <v>2.7</v>
      </c>
      <c r="DM5" s="435" t="s">
        <v>351</v>
      </c>
      <c r="DN5" s="436"/>
      <c r="DO5" s="437">
        <v>291.60000000000002</v>
      </c>
      <c r="DP5" s="438"/>
      <c r="DQ5" s="439">
        <v>480</v>
      </c>
      <c r="DR5" s="440"/>
      <c r="DS5" s="439">
        <v>90</v>
      </c>
      <c r="DT5" s="440"/>
      <c r="DU5" s="1470" t="s">
        <v>762</v>
      </c>
      <c r="DV5" s="441"/>
      <c r="DW5" s="1471" t="s">
        <v>779</v>
      </c>
      <c r="DX5" s="442"/>
      <c r="DY5" s="1472" t="s">
        <v>820</v>
      </c>
      <c r="DZ5" s="443"/>
      <c r="EA5" s="1473" t="s">
        <v>818</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108</v>
      </c>
      <c r="FN5" s="433" t="s">
        <v>350</v>
      </c>
      <c r="FO5" s="434">
        <v>2.7</v>
      </c>
      <c r="FP5" s="435" t="s">
        <v>351</v>
      </c>
      <c r="FQ5" s="436"/>
      <c r="FR5" s="437">
        <v>291.60000000000002</v>
      </c>
      <c r="FS5" s="438"/>
      <c r="FT5" s="439">
        <v>480</v>
      </c>
      <c r="FU5" s="440"/>
      <c r="FV5" s="439">
        <v>90</v>
      </c>
      <c r="FW5" s="440"/>
      <c r="FX5" s="1470" t="s">
        <v>821</v>
      </c>
      <c r="FY5" s="441"/>
      <c r="FZ5" s="1471" t="s">
        <v>822</v>
      </c>
      <c r="GA5" s="442"/>
      <c r="GB5" s="1472" t="s">
        <v>823</v>
      </c>
      <c r="GC5" s="443"/>
      <c r="GD5" s="1473" t="s">
        <v>824</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621</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622</v>
      </c>
      <c r="E9" s="522" t="s">
        <v>623</v>
      </c>
      <c r="F9" s="523" t="s">
        <v>265</v>
      </c>
      <c r="G9" s="524" t="s">
        <v>624</v>
      </c>
      <c r="H9" s="525" t="s">
        <v>625</v>
      </c>
      <c r="I9" s="526" t="s">
        <v>268</v>
      </c>
      <c r="J9" s="525" t="s">
        <v>625</v>
      </c>
      <c r="K9" s="526" t="s">
        <v>268</v>
      </c>
      <c r="L9" s="525" t="s">
        <v>625</v>
      </c>
      <c r="M9" s="526" t="s">
        <v>268</v>
      </c>
      <c r="N9" s="525" t="s">
        <v>625</v>
      </c>
      <c r="O9" s="526" t="s">
        <v>268</v>
      </c>
      <c r="P9" s="525" t="s">
        <v>625</v>
      </c>
      <c r="Q9" s="526" t="s">
        <v>268</v>
      </c>
      <c r="R9" s="525" t="s">
        <v>625</v>
      </c>
      <c r="S9" s="526" t="s">
        <v>268</v>
      </c>
      <c r="T9" s="525" t="s">
        <v>625</v>
      </c>
      <c r="U9" s="526" t="s">
        <v>268</v>
      </c>
      <c r="V9" s="525" t="s">
        <v>625</v>
      </c>
      <c r="W9" s="526" t="s">
        <v>268</v>
      </c>
      <c r="X9" s="525" t="s">
        <v>625</v>
      </c>
      <c r="Y9" s="526" t="s">
        <v>268</v>
      </c>
      <c r="Z9" s="525" t="s">
        <v>625</v>
      </c>
      <c r="AA9" s="526" t="s">
        <v>268</v>
      </c>
      <c r="AB9" s="525" t="s">
        <v>625</v>
      </c>
      <c r="AC9" s="526" t="s">
        <v>268</v>
      </c>
      <c r="AD9" s="525" t="s">
        <v>625</v>
      </c>
      <c r="AE9" s="526" t="s">
        <v>268</v>
      </c>
      <c r="AF9" s="525" t="s">
        <v>625</v>
      </c>
      <c r="AG9" s="526" t="s">
        <v>268</v>
      </c>
      <c r="AH9" s="525" t="s">
        <v>625</v>
      </c>
      <c r="AI9" s="526" t="s">
        <v>268</v>
      </c>
      <c r="AJ9" s="525" t="s">
        <v>625</v>
      </c>
      <c r="AK9" s="526" t="s">
        <v>268</v>
      </c>
      <c r="AL9" s="525" t="s">
        <v>625</v>
      </c>
      <c r="AM9" s="526" t="s">
        <v>268</v>
      </c>
      <c r="AN9" s="525" t="s">
        <v>625</v>
      </c>
      <c r="AO9" s="526" t="s">
        <v>268</v>
      </c>
      <c r="AP9" s="525" t="s">
        <v>625</v>
      </c>
      <c r="AQ9" s="526" t="s">
        <v>268</v>
      </c>
      <c r="AR9" s="525" t="s">
        <v>625</v>
      </c>
      <c r="AS9" s="526" t="s">
        <v>268</v>
      </c>
      <c r="AT9" s="525" t="s">
        <v>625</v>
      </c>
      <c r="AU9" s="526" t="s">
        <v>268</v>
      </c>
      <c r="AV9" s="525" t="s">
        <v>625</v>
      </c>
      <c r="AW9" s="526" t="s">
        <v>268</v>
      </c>
      <c r="AX9" s="525" t="s">
        <v>625</v>
      </c>
      <c r="AY9" s="526" t="s">
        <v>268</v>
      </c>
      <c r="AZ9" s="525" t="s">
        <v>625</v>
      </c>
      <c r="BA9" s="526" t="s">
        <v>268</v>
      </c>
      <c r="BB9" s="527" t="s">
        <v>271</v>
      </c>
      <c r="BC9" s="490"/>
      <c r="BD9" s="519" t="s">
        <v>260</v>
      </c>
      <c r="BE9" s="520" t="s">
        <v>261</v>
      </c>
      <c r="BF9" s="521" t="s">
        <v>262</v>
      </c>
      <c r="BG9" s="521" t="s">
        <v>622</v>
      </c>
      <c r="BH9" s="522" t="s">
        <v>623</v>
      </c>
      <c r="BI9" s="523" t="s">
        <v>265</v>
      </c>
      <c r="BJ9" s="524" t="s">
        <v>624</v>
      </c>
      <c r="BK9" s="525" t="s">
        <v>625</v>
      </c>
      <c r="BL9" s="526" t="s">
        <v>268</v>
      </c>
      <c r="BM9" s="525" t="s">
        <v>625</v>
      </c>
      <c r="BN9" s="526" t="s">
        <v>268</v>
      </c>
      <c r="BO9" s="525" t="s">
        <v>625</v>
      </c>
      <c r="BP9" s="526" t="s">
        <v>268</v>
      </c>
      <c r="BQ9" s="525" t="s">
        <v>625</v>
      </c>
      <c r="BR9" s="526" t="s">
        <v>268</v>
      </c>
      <c r="BS9" s="525" t="s">
        <v>625</v>
      </c>
      <c r="BT9" s="526" t="s">
        <v>268</v>
      </c>
      <c r="BU9" s="525" t="s">
        <v>625</v>
      </c>
      <c r="BV9" s="526" t="s">
        <v>268</v>
      </c>
      <c r="BW9" s="525" t="s">
        <v>625</v>
      </c>
      <c r="BX9" s="526" t="s">
        <v>268</v>
      </c>
      <c r="BY9" s="525" t="s">
        <v>625</v>
      </c>
      <c r="BZ9" s="526" t="s">
        <v>268</v>
      </c>
      <c r="CA9" s="525" t="s">
        <v>625</v>
      </c>
      <c r="CB9" s="526" t="s">
        <v>268</v>
      </c>
      <c r="CC9" s="525" t="s">
        <v>625</v>
      </c>
      <c r="CD9" s="526" t="s">
        <v>268</v>
      </c>
      <c r="CE9" s="525" t="s">
        <v>625</v>
      </c>
      <c r="CF9" s="526" t="s">
        <v>268</v>
      </c>
      <c r="CG9" s="525" t="s">
        <v>625</v>
      </c>
      <c r="CH9" s="526" t="s">
        <v>268</v>
      </c>
      <c r="CI9" s="525" t="s">
        <v>625</v>
      </c>
      <c r="CJ9" s="526" t="s">
        <v>268</v>
      </c>
      <c r="CK9" s="525" t="s">
        <v>625</v>
      </c>
      <c r="CL9" s="526" t="s">
        <v>268</v>
      </c>
      <c r="CM9" s="525" t="s">
        <v>625</v>
      </c>
      <c r="CN9" s="526" t="s">
        <v>268</v>
      </c>
      <c r="CO9" s="525" t="s">
        <v>625</v>
      </c>
      <c r="CP9" s="526" t="s">
        <v>268</v>
      </c>
      <c r="CQ9" s="525" t="s">
        <v>625</v>
      </c>
      <c r="CR9" s="526" t="s">
        <v>268</v>
      </c>
      <c r="CS9" s="525" t="s">
        <v>625</v>
      </c>
      <c r="CT9" s="526" t="s">
        <v>268</v>
      </c>
      <c r="CU9" s="525" t="s">
        <v>625</v>
      </c>
      <c r="CV9" s="526" t="s">
        <v>268</v>
      </c>
      <c r="CW9" s="525" t="s">
        <v>625</v>
      </c>
      <c r="CX9" s="526" t="s">
        <v>268</v>
      </c>
      <c r="CY9" s="525" t="s">
        <v>625</v>
      </c>
      <c r="CZ9" s="526" t="s">
        <v>268</v>
      </c>
      <c r="DA9" s="525" t="s">
        <v>625</v>
      </c>
      <c r="DB9" s="526" t="s">
        <v>268</v>
      </c>
      <c r="DC9" s="525" t="s">
        <v>625</v>
      </c>
      <c r="DD9" s="526" t="s">
        <v>268</v>
      </c>
      <c r="DE9" s="527" t="s">
        <v>271</v>
      </c>
      <c r="DF9" s="490"/>
      <c r="DG9" s="519" t="s">
        <v>260</v>
      </c>
      <c r="DH9" s="520" t="s">
        <v>261</v>
      </c>
      <c r="DI9" s="521" t="s">
        <v>262</v>
      </c>
      <c r="DJ9" s="521" t="s">
        <v>622</v>
      </c>
      <c r="DK9" s="522" t="s">
        <v>623</v>
      </c>
      <c r="DL9" s="523" t="s">
        <v>265</v>
      </c>
      <c r="DM9" s="524" t="s">
        <v>624</v>
      </c>
      <c r="DN9" s="525" t="s">
        <v>625</v>
      </c>
      <c r="DO9" s="526" t="s">
        <v>268</v>
      </c>
      <c r="DP9" s="525" t="s">
        <v>625</v>
      </c>
      <c r="DQ9" s="526" t="s">
        <v>268</v>
      </c>
      <c r="DR9" s="525" t="s">
        <v>625</v>
      </c>
      <c r="DS9" s="526" t="s">
        <v>268</v>
      </c>
      <c r="DT9" s="525" t="s">
        <v>625</v>
      </c>
      <c r="DU9" s="526" t="s">
        <v>268</v>
      </c>
      <c r="DV9" s="525" t="s">
        <v>625</v>
      </c>
      <c r="DW9" s="526" t="s">
        <v>268</v>
      </c>
      <c r="DX9" s="525" t="s">
        <v>625</v>
      </c>
      <c r="DY9" s="526" t="s">
        <v>268</v>
      </c>
      <c r="DZ9" s="525" t="s">
        <v>625</v>
      </c>
      <c r="EA9" s="526" t="s">
        <v>268</v>
      </c>
      <c r="EB9" s="525" t="s">
        <v>625</v>
      </c>
      <c r="EC9" s="526" t="s">
        <v>268</v>
      </c>
      <c r="ED9" s="525" t="s">
        <v>625</v>
      </c>
      <c r="EE9" s="526" t="s">
        <v>268</v>
      </c>
      <c r="EF9" s="525" t="s">
        <v>625</v>
      </c>
      <c r="EG9" s="526" t="s">
        <v>268</v>
      </c>
      <c r="EH9" s="525" t="s">
        <v>625</v>
      </c>
      <c r="EI9" s="526" t="s">
        <v>268</v>
      </c>
      <c r="EJ9" s="525" t="s">
        <v>625</v>
      </c>
      <c r="EK9" s="526" t="s">
        <v>268</v>
      </c>
      <c r="EL9" s="525" t="s">
        <v>625</v>
      </c>
      <c r="EM9" s="526" t="s">
        <v>268</v>
      </c>
      <c r="EN9" s="525" t="s">
        <v>625</v>
      </c>
      <c r="EO9" s="526" t="s">
        <v>268</v>
      </c>
      <c r="EP9" s="525" t="s">
        <v>625</v>
      </c>
      <c r="EQ9" s="526" t="s">
        <v>268</v>
      </c>
      <c r="ER9" s="525" t="s">
        <v>625</v>
      </c>
      <c r="ES9" s="526" t="s">
        <v>268</v>
      </c>
      <c r="ET9" s="525" t="s">
        <v>625</v>
      </c>
      <c r="EU9" s="526" t="s">
        <v>268</v>
      </c>
      <c r="EV9" s="525" t="s">
        <v>625</v>
      </c>
      <c r="EW9" s="526" t="s">
        <v>268</v>
      </c>
      <c r="EX9" s="525" t="s">
        <v>625</v>
      </c>
      <c r="EY9" s="526" t="s">
        <v>268</v>
      </c>
      <c r="EZ9" s="525" t="s">
        <v>625</v>
      </c>
      <c r="FA9" s="526" t="s">
        <v>268</v>
      </c>
      <c r="FB9" s="525" t="s">
        <v>625</v>
      </c>
      <c r="FC9" s="526" t="s">
        <v>268</v>
      </c>
      <c r="FD9" s="525" t="s">
        <v>625</v>
      </c>
      <c r="FE9" s="526" t="s">
        <v>268</v>
      </c>
      <c r="FF9" s="525" t="s">
        <v>625</v>
      </c>
      <c r="FG9" s="526" t="s">
        <v>268</v>
      </c>
      <c r="FH9" s="527" t="s">
        <v>271</v>
      </c>
      <c r="FI9" s="528"/>
      <c r="FJ9" s="529" t="s">
        <v>260</v>
      </c>
      <c r="FK9" s="520" t="s">
        <v>261</v>
      </c>
      <c r="FL9" s="521" t="s">
        <v>262</v>
      </c>
      <c r="FM9" s="521" t="s">
        <v>622</v>
      </c>
      <c r="FN9" s="522" t="s">
        <v>623</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73</v>
      </c>
      <c r="D10" s="542">
        <f>ROUND(22.05*0.85,2)</f>
        <v>18.739999999999998</v>
      </c>
      <c r="E10" s="540" t="s">
        <v>326</v>
      </c>
      <c r="F10" s="541" t="s">
        <v>197</v>
      </c>
      <c r="G10" s="543">
        <v>0</v>
      </c>
      <c r="H10" s="544">
        <f>ROUND(ROUND(22.05*0.85,2)*0.34*0,0)</f>
        <v>0</v>
      </c>
      <c r="I10" s="545">
        <v>0</v>
      </c>
      <c r="J10" s="546">
        <f>ROUND(ROUND(22.05*0.85,2)*0.34*0,0)</f>
        <v>0</v>
      </c>
      <c r="K10" s="547">
        <v>0</v>
      </c>
      <c r="L10" s="546">
        <f>ROUND(ROUND(22.05*0.85,2)*0.34*0,0)</f>
        <v>0</v>
      </c>
      <c r="M10" s="547">
        <v>0</v>
      </c>
      <c r="N10" s="546">
        <f>ROUND(ROUND(22.05*0.85,2)*0.34*0,0)</f>
        <v>0</v>
      </c>
      <c r="O10" s="547">
        <v>0</v>
      </c>
      <c r="P10" s="546">
        <f>ROUND(ROUND(22.05*0.85,2)*0.34*0,0)</f>
        <v>0</v>
      </c>
      <c r="Q10" s="547">
        <v>0</v>
      </c>
      <c r="R10" s="546">
        <f>ROUND(ROUND(22.05*0.85,2)*0.34*0,0)</f>
        <v>0</v>
      </c>
      <c r="S10" s="547">
        <v>0</v>
      </c>
      <c r="T10" s="546">
        <f>ROUND(ROUND(22.05*0.85,2)*0.34*0,0)</f>
        <v>0</v>
      </c>
      <c r="U10" s="547">
        <v>0</v>
      </c>
      <c r="V10" s="546">
        <f>ROUND(ROUND(22.05*0.85,2)*0.34*0,0)</f>
        <v>0</v>
      </c>
      <c r="W10" s="547">
        <v>86</v>
      </c>
      <c r="X10" s="546">
        <f>ROUND(ROUND(22.05*0.85,2)*0.34*86,0)</f>
        <v>548</v>
      </c>
      <c r="Y10" s="547">
        <v>93</v>
      </c>
      <c r="Z10" s="546">
        <f>ROUND(ROUND(22.05*0.85,2)*0.34*93,0)</f>
        <v>593</v>
      </c>
      <c r="AA10" s="547">
        <v>95</v>
      </c>
      <c r="AB10" s="546">
        <f>ROUND(ROUND(22.05*0.85,2)*0.34*95,0)</f>
        <v>605</v>
      </c>
      <c r="AC10" s="547">
        <v>94</v>
      </c>
      <c r="AD10" s="546">
        <f>ROUND(ROUND(22.05*0.85,2)*0.34*94,0)</f>
        <v>599</v>
      </c>
      <c r="AE10" s="547">
        <v>93</v>
      </c>
      <c r="AF10" s="546">
        <f>ROUND(ROUND(22.05*0.85,2)*0.34*93,0)</f>
        <v>593</v>
      </c>
      <c r="AG10" s="547">
        <v>90</v>
      </c>
      <c r="AH10" s="546">
        <f>ROUND(ROUND(22.05*0.85,2)*0.34*90,0)</f>
        <v>573</v>
      </c>
      <c r="AI10" s="547">
        <v>80</v>
      </c>
      <c r="AJ10" s="546">
        <f>ROUND(ROUND(22.05*0.85,2)*0.34*80,0)</f>
        <v>510</v>
      </c>
      <c r="AK10" s="547">
        <v>63</v>
      </c>
      <c r="AL10" s="546">
        <f>ROUND(ROUND(22.05*0.85,2)*0.34*63,0)</f>
        <v>401</v>
      </c>
      <c r="AM10" s="547">
        <v>62</v>
      </c>
      <c r="AN10" s="546">
        <f>ROUND(ROUND(22.05*0.85,2)*0.34*62,0)</f>
        <v>395</v>
      </c>
      <c r="AO10" s="547">
        <v>26</v>
      </c>
      <c r="AP10" s="546">
        <f>ROUND(ROUND(22.05*0.85,2)*0.34*26,0)</f>
        <v>166</v>
      </c>
      <c r="AQ10" s="547">
        <v>0</v>
      </c>
      <c r="AR10" s="546">
        <f>ROUND(ROUND(22.05*0.85,2)*0.34*0,0)</f>
        <v>0</v>
      </c>
      <c r="AS10" s="547">
        <v>0</v>
      </c>
      <c r="AT10" s="546">
        <f>ROUND(ROUND(22.05*0.85,2)*0.34*0,0)</f>
        <v>0</v>
      </c>
      <c r="AU10" s="547">
        <v>0</v>
      </c>
      <c r="AV10" s="546">
        <f>ROUND(ROUND(22.05*0.85,2)*0.34*0,0)</f>
        <v>0</v>
      </c>
      <c r="AW10" s="547">
        <v>0</v>
      </c>
      <c r="AX10" s="546">
        <f>ROUND(ROUND(22.05*0.85,2)*0.34*0,0)</f>
        <v>0</v>
      </c>
      <c r="AY10" s="547">
        <v>0</v>
      </c>
      <c r="AZ10" s="546">
        <f>ROUND(ROUND(22.05*0.85,2)*0.34*0,0)</f>
        <v>0</v>
      </c>
      <c r="BA10" s="547">
        <v>0</v>
      </c>
      <c r="BB10" s="548">
        <f>ROUND(ROUND(22.05*0.85,2)*0.34*0,0)</f>
        <v>0</v>
      </c>
      <c r="BC10" s="549"/>
      <c r="BD10" s="539"/>
      <c r="BE10" s="540"/>
      <c r="BF10" s="541"/>
      <c r="BG10" s="542"/>
      <c r="BH10" s="540"/>
      <c r="BI10" s="541"/>
      <c r="BJ10" s="543">
        <v>0</v>
      </c>
      <c r="BK10" s="544">
        <f>ROUND(ROUND(22.05*0.85,2)*0.34*0,0)</f>
        <v>0</v>
      </c>
      <c r="BL10" s="545">
        <v>0</v>
      </c>
      <c r="BM10" s="546">
        <f>ROUND(ROUND(22.05*0.85,2)*0.34*0,0)</f>
        <v>0</v>
      </c>
      <c r="BN10" s="547">
        <v>0</v>
      </c>
      <c r="BO10" s="546">
        <f>ROUND(ROUND(22.05*0.85,2)*0.34*0,0)</f>
        <v>0</v>
      </c>
      <c r="BP10" s="547">
        <v>0</v>
      </c>
      <c r="BQ10" s="546">
        <f>ROUND(ROUND(22.05*0.85,2)*0.34*0,0)</f>
        <v>0</v>
      </c>
      <c r="BR10" s="547">
        <v>0</v>
      </c>
      <c r="BS10" s="546">
        <f>ROUND(ROUND(22.05*0.85,2)*0.34*0,0)</f>
        <v>0</v>
      </c>
      <c r="BT10" s="547">
        <v>0</v>
      </c>
      <c r="BU10" s="546">
        <f>ROUND(ROUND(22.05*0.85,2)*0.34*0,0)</f>
        <v>0</v>
      </c>
      <c r="BV10" s="547">
        <v>0</v>
      </c>
      <c r="BW10" s="546">
        <f>ROUND(ROUND(22.05*0.85,2)*0.34*0,0)</f>
        <v>0</v>
      </c>
      <c r="BX10" s="547">
        <v>0</v>
      </c>
      <c r="BY10" s="546">
        <f>ROUND(ROUND(22.05*0.85,2)*0.34*0,0)</f>
        <v>0</v>
      </c>
      <c r="BZ10" s="547">
        <v>64</v>
      </c>
      <c r="CA10" s="546">
        <f>ROUND(ROUND(22.05*0.85,2)*0.34*64,0)</f>
        <v>408</v>
      </c>
      <c r="CB10" s="547">
        <v>64</v>
      </c>
      <c r="CC10" s="546">
        <f>ROUND(ROUND(22.05*0.85,2)*0.34*64,0)</f>
        <v>408</v>
      </c>
      <c r="CD10" s="547">
        <v>61</v>
      </c>
      <c r="CE10" s="546">
        <f>ROUND(ROUND(22.05*0.85,2)*0.34*61,0)</f>
        <v>389</v>
      </c>
      <c r="CF10" s="547">
        <v>59</v>
      </c>
      <c r="CG10" s="546">
        <f>ROUND(ROUND(22.05*0.85,2)*0.34*59,0)</f>
        <v>376</v>
      </c>
      <c r="CH10" s="547">
        <v>63</v>
      </c>
      <c r="CI10" s="546">
        <f>ROUND(ROUND(22.05*0.85,2)*0.34*63,0)</f>
        <v>401</v>
      </c>
      <c r="CJ10" s="547">
        <v>65</v>
      </c>
      <c r="CK10" s="546">
        <f>ROUND(ROUND(22.05*0.85,2)*0.34*65,0)</f>
        <v>414</v>
      </c>
      <c r="CL10" s="547">
        <v>63</v>
      </c>
      <c r="CM10" s="546">
        <f>ROUND(ROUND(22.05*0.85,2)*0.34*63,0)</f>
        <v>401</v>
      </c>
      <c r="CN10" s="547">
        <v>51</v>
      </c>
      <c r="CO10" s="546">
        <f>ROUND(ROUND(22.05*0.85,2)*0.34*51,0)</f>
        <v>325</v>
      </c>
      <c r="CP10" s="547">
        <v>92</v>
      </c>
      <c r="CQ10" s="546">
        <f>ROUND(ROUND(22.05*0.85,2)*0.34*92,0)</f>
        <v>586</v>
      </c>
      <c r="CR10" s="547">
        <v>81</v>
      </c>
      <c r="CS10" s="546">
        <f>ROUND(ROUND(22.05*0.85,2)*0.34*81,0)</f>
        <v>516</v>
      </c>
      <c r="CT10" s="547">
        <v>0</v>
      </c>
      <c r="CU10" s="546">
        <f>ROUND(ROUND(22.05*0.85,2)*0.34*0,0)</f>
        <v>0</v>
      </c>
      <c r="CV10" s="547">
        <v>0</v>
      </c>
      <c r="CW10" s="546">
        <f>ROUND(ROUND(22.05*0.85,2)*0.34*0,0)</f>
        <v>0</v>
      </c>
      <c r="CX10" s="547">
        <v>0</v>
      </c>
      <c r="CY10" s="546">
        <f>ROUND(ROUND(22.05*0.85,2)*0.34*0,0)</f>
        <v>0</v>
      </c>
      <c r="CZ10" s="547">
        <v>0</v>
      </c>
      <c r="DA10" s="546">
        <f>ROUND(ROUND(22.05*0.85,2)*0.34*0,0)</f>
        <v>0</v>
      </c>
      <c r="DB10" s="547">
        <v>0</v>
      </c>
      <c r="DC10" s="546">
        <f>ROUND(ROUND(22.05*0.85,2)*0.34*0,0)</f>
        <v>0</v>
      </c>
      <c r="DD10" s="547">
        <v>0</v>
      </c>
      <c r="DE10" s="548">
        <f>ROUND(ROUND(22.05*0.85,2)*0.34*0,0)</f>
        <v>0</v>
      </c>
      <c r="DF10" s="549"/>
      <c r="DG10" s="539"/>
      <c r="DH10" s="540"/>
      <c r="DI10" s="541"/>
      <c r="DJ10" s="542"/>
      <c r="DK10" s="540"/>
      <c r="DL10" s="541"/>
      <c r="DM10" s="543">
        <v>0</v>
      </c>
      <c r="DN10" s="544">
        <f>ROUND(ROUND(22.05*0.85,2)*0.34*0,0)</f>
        <v>0</v>
      </c>
      <c r="DO10" s="545">
        <v>0</v>
      </c>
      <c r="DP10" s="546">
        <f>ROUND(ROUND(22.05*0.85,2)*0.34*0,0)</f>
        <v>0</v>
      </c>
      <c r="DQ10" s="547">
        <v>0</v>
      </c>
      <c r="DR10" s="546">
        <f>ROUND(ROUND(22.05*0.85,2)*0.34*0,0)</f>
        <v>0</v>
      </c>
      <c r="DS10" s="547">
        <v>0</v>
      </c>
      <c r="DT10" s="546">
        <f>ROUND(ROUND(22.05*0.85,2)*0.34*0,0)</f>
        <v>0</v>
      </c>
      <c r="DU10" s="547">
        <v>0</v>
      </c>
      <c r="DV10" s="546">
        <f>ROUND(ROUND(22.05*0.85,2)*0.34*0,0)</f>
        <v>0</v>
      </c>
      <c r="DW10" s="547">
        <v>0</v>
      </c>
      <c r="DX10" s="546">
        <f>ROUND(ROUND(22.05*0.85,2)*0.34*0,0)</f>
        <v>0</v>
      </c>
      <c r="DY10" s="547">
        <v>0</v>
      </c>
      <c r="DZ10" s="546">
        <f>ROUND(ROUND(22.05*0.85,2)*0.34*0,0)</f>
        <v>0</v>
      </c>
      <c r="EA10" s="547">
        <v>0</v>
      </c>
      <c r="EB10" s="546">
        <f>ROUND(ROUND(22.05*0.85,2)*0.34*0,0)</f>
        <v>0</v>
      </c>
      <c r="EC10" s="547">
        <v>55</v>
      </c>
      <c r="ED10" s="546">
        <f>ROUND(ROUND(22.05*0.85,2)*0.34*55,0)</f>
        <v>350</v>
      </c>
      <c r="EE10" s="547">
        <v>56</v>
      </c>
      <c r="EF10" s="546">
        <f>ROUND(ROUND(22.05*0.85,2)*0.34*56,0)</f>
        <v>357</v>
      </c>
      <c r="EG10" s="547">
        <v>57</v>
      </c>
      <c r="EH10" s="546">
        <f>ROUND(ROUND(22.05*0.85,2)*0.34*57,0)</f>
        <v>363</v>
      </c>
      <c r="EI10" s="547">
        <v>56</v>
      </c>
      <c r="EJ10" s="546">
        <f>ROUND(ROUND(22.05*0.85,2)*0.34*56,0)</f>
        <v>357</v>
      </c>
      <c r="EK10" s="547">
        <v>57</v>
      </c>
      <c r="EL10" s="546">
        <f>ROUND(ROUND(22.05*0.85,2)*0.34*57,0)</f>
        <v>363</v>
      </c>
      <c r="EM10" s="547">
        <v>56</v>
      </c>
      <c r="EN10" s="546">
        <f>ROUND(ROUND(22.05*0.85,2)*0.34*56,0)</f>
        <v>357</v>
      </c>
      <c r="EO10" s="547">
        <v>51</v>
      </c>
      <c r="EP10" s="546">
        <f>ROUND(ROUND(22.05*0.85,2)*0.34*51,0)</f>
        <v>325</v>
      </c>
      <c r="EQ10" s="547">
        <v>39</v>
      </c>
      <c r="ER10" s="546">
        <f>ROUND(ROUND(22.05*0.85,2)*0.34*39,0)</f>
        <v>248</v>
      </c>
      <c r="ES10" s="547">
        <v>19</v>
      </c>
      <c r="ET10" s="546">
        <f>ROUND(ROUND(22.05*0.85,2)*0.34*19,0)</f>
        <v>121</v>
      </c>
      <c r="EU10" s="547">
        <v>2</v>
      </c>
      <c r="EV10" s="546">
        <f>ROUND(ROUND(22.05*0.85,2)*0.34*2,0)</f>
        <v>13</v>
      </c>
      <c r="EW10" s="547">
        <v>0</v>
      </c>
      <c r="EX10" s="546">
        <f>ROUND(ROUND(22.05*0.85,2)*0.34*0,0)</f>
        <v>0</v>
      </c>
      <c r="EY10" s="547">
        <v>0</v>
      </c>
      <c r="EZ10" s="546">
        <f>ROUND(ROUND(22.05*0.85,2)*0.34*0,0)</f>
        <v>0</v>
      </c>
      <c r="FA10" s="547">
        <v>0</v>
      </c>
      <c r="FB10" s="546">
        <f>ROUND(ROUND(22.05*0.85,2)*0.34*0,0)</f>
        <v>0</v>
      </c>
      <c r="FC10" s="547">
        <v>0</v>
      </c>
      <c r="FD10" s="546">
        <f>ROUND(ROUND(22.05*0.85,2)*0.34*0,0)</f>
        <v>0</v>
      </c>
      <c r="FE10" s="547">
        <v>0</v>
      </c>
      <c r="FF10" s="546">
        <f>ROUND(ROUND(22.05*0.85,2)*0.34*0,0)</f>
        <v>0</v>
      </c>
      <c r="FG10" s="547">
        <v>0</v>
      </c>
      <c r="FH10" s="548">
        <f>ROUND(ROUND(22.05*0.85,2)*0.34*0,0)</f>
        <v>0</v>
      </c>
      <c r="FI10" s="550"/>
      <c r="FJ10" s="551"/>
      <c r="FK10" s="540"/>
      <c r="FL10" s="541"/>
      <c r="FM10" s="542"/>
      <c r="FN10" s="540"/>
      <c r="FO10" s="541"/>
      <c r="FP10" s="552"/>
      <c r="FQ10" s="545"/>
      <c r="FR10" s="544" t="s">
        <v>494</v>
      </c>
      <c r="FS10" s="553"/>
      <c r="FT10" s="545"/>
      <c r="FU10" s="554" t="s">
        <v>626</v>
      </c>
      <c r="FV10" s="1255" t="s">
        <v>276</v>
      </c>
      <c r="FW10" s="1282"/>
      <c r="FX10" s="1283" t="s">
        <v>277</v>
      </c>
      <c r="FY10" s="1284"/>
      <c r="FZ10" s="1285" t="s">
        <v>278</v>
      </c>
      <c r="GA10" s="1286"/>
      <c r="GB10" s="1287" t="s">
        <v>635</v>
      </c>
      <c r="GC10" s="1288"/>
      <c r="GD10" s="563" t="s">
        <v>636</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626</v>
      </c>
      <c r="FS11" s="578"/>
      <c r="FT11" s="573"/>
      <c r="FU11" s="579" t="s">
        <v>626</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494</v>
      </c>
      <c r="FS12" s="578"/>
      <c r="FT12" s="573"/>
      <c r="FU12" s="579" t="s">
        <v>494</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527</v>
      </c>
      <c r="FS13" s="613"/>
      <c r="FT13" s="608"/>
      <c r="FU13" s="614" t="s">
        <v>626</v>
      </c>
      <c r="FV13" s="580"/>
      <c r="FW13" s="581"/>
      <c r="FX13" s="582"/>
      <c r="FY13" s="583"/>
      <c r="FZ13" s="584"/>
      <c r="GA13" s="585"/>
      <c r="GB13" s="586"/>
      <c r="GC13" s="587"/>
      <c r="GD13" s="586"/>
      <c r="GE13" s="588"/>
      <c r="GF13" s="486"/>
      <c r="GG13" s="589"/>
      <c r="GH13" s="589"/>
      <c r="GI13" s="589"/>
      <c r="GJ13" s="404"/>
      <c r="GK13" s="615">
        <v>207</v>
      </c>
      <c r="GL13" s="616"/>
      <c r="GM13" s="617" t="s">
        <v>431</v>
      </c>
      <c r="GN13" s="618">
        <v>22.05</v>
      </c>
      <c r="GO13" s="619">
        <v>0</v>
      </c>
      <c r="GP13" s="619">
        <v>1</v>
      </c>
      <c r="GQ13" s="620">
        <v>0</v>
      </c>
      <c r="GR13" s="621">
        <v>22.05</v>
      </c>
      <c r="GS13" s="565"/>
      <c r="GT13" s="404"/>
      <c r="GU13" s="615">
        <v>207</v>
      </c>
      <c r="GV13" s="616"/>
      <c r="GW13" s="622" t="s">
        <v>640</v>
      </c>
      <c r="GX13" s="623">
        <v>22.05</v>
      </c>
      <c r="GY13" s="624"/>
      <c r="GZ13" s="625">
        <v>0</v>
      </c>
      <c r="HA13" s="626">
        <v>0</v>
      </c>
      <c r="HB13" s="627"/>
      <c r="HC13" s="517"/>
      <c r="HD13" s="782"/>
      <c r="HE13" s="428"/>
      <c r="HF13" s="377"/>
      <c r="HG13" s="377"/>
    </row>
    <row r="14" spans="1:353" ht="20.100000000000001" customHeight="1">
      <c r="A14" s="628"/>
      <c r="B14" s="629"/>
      <c r="C14" s="629"/>
      <c r="D14" s="630" t="s">
        <v>627</v>
      </c>
      <c r="E14" s="629"/>
      <c r="F14" s="629"/>
      <c r="G14" s="1263"/>
      <c r="H14" s="1264">
        <f>SUM(H10:H13)</f>
        <v>0</v>
      </c>
      <c r="I14" s="1271"/>
      <c r="J14" s="1264">
        <f>SUM(J10:J13)</f>
        <v>0</v>
      </c>
      <c r="K14" s="1271"/>
      <c r="L14" s="1264">
        <f>SUM(L10:L13)</f>
        <v>0</v>
      </c>
      <c r="M14" s="1271"/>
      <c r="N14" s="1264">
        <f>SUM(N10:N13)</f>
        <v>0</v>
      </c>
      <c r="O14" s="1271"/>
      <c r="P14" s="1264">
        <f>SUM(P10:P13)</f>
        <v>0</v>
      </c>
      <c r="Q14" s="1271"/>
      <c r="R14" s="1264">
        <f>SUM(R10:R13)</f>
        <v>0</v>
      </c>
      <c r="S14" s="1271"/>
      <c r="T14" s="1264">
        <f>SUM(T10:T13)</f>
        <v>0</v>
      </c>
      <c r="U14" s="1271"/>
      <c r="V14" s="1264">
        <f>SUM(V10:V13)</f>
        <v>0</v>
      </c>
      <c r="W14" s="1271"/>
      <c r="X14" s="1264">
        <f>SUM(X10:X13)</f>
        <v>548</v>
      </c>
      <c r="Y14" s="1271"/>
      <c r="Z14" s="1264">
        <f>SUM(Z10:Z13)</f>
        <v>593</v>
      </c>
      <c r="AA14" s="1271"/>
      <c r="AB14" s="1264">
        <f>SUM(AB10:AB13)</f>
        <v>605</v>
      </c>
      <c r="AC14" s="1271"/>
      <c r="AD14" s="1264">
        <f>SUM(AD10:AD13)</f>
        <v>599</v>
      </c>
      <c r="AE14" s="1271"/>
      <c r="AF14" s="1264">
        <f>SUM(AF10:AF13)</f>
        <v>593</v>
      </c>
      <c r="AG14" s="1271"/>
      <c r="AH14" s="1264">
        <f>SUM(AH10:AH13)</f>
        <v>573</v>
      </c>
      <c r="AI14" s="1271"/>
      <c r="AJ14" s="1264">
        <f>SUM(AJ10:AJ13)</f>
        <v>510</v>
      </c>
      <c r="AK14" s="1271"/>
      <c r="AL14" s="1264">
        <f>SUM(AL10:AL13)</f>
        <v>401</v>
      </c>
      <c r="AM14" s="1271"/>
      <c r="AN14" s="1264">
        <f>SUM(AN10:AN13)</f>
        <v>395</v>
      </c>
      <c r="AO14" s="1271"/>
      <c r="AP14" s="1264">
        <f>SUM(AP10:AP13)</f>
        <v>166</v>
      </c>
      <c r="AQ14" s="1271"/>
      <c r="AR14" s="1264">
        <f>SUM(AR10:AR13)</f>
        <v>0</v>
      </c>
      <c r="AS14" s="1271"/>
      <c r="AT14" s="1264">
        <f>SUM(AT10:AT13)</f>
        <v>0</v>
      </c>
      <c r="AU14" s="1271"/>
      <c r="AV14" s="1264">
        <f>SUM(AV10:AV13)</f>
        <v>0</v>
      </c>
      <c r="AW14" s="1271"/>
      <c r="AX14" s="1264">
        <f>SUM(AX10:AX13)</f>
        <v>0</v>
      </c>
      <c r="AY14" s="1271"/>
      <c r="AZ14" s="1264">
        <f>SUM(AZ10:AZ13)</f>
        <v>0</v>
      </c>
      <c r="BA14" s="1271"/>
      <c r="BB14" s="1266">
        <f>SUM(BB10:BB13)</f>
        <v>0</v>
      </c>
      <c r="BC14" s="635"/>
      <c r="BD14" s="628"/>
      <c r="BE14" s="629"/>
      <c r="BF14" s="629"/>
      <c r="BG14" s="630" t="s">
        <v>496</v>
      </c>
      <c r="BH14" s="629"/>
      <c r="BI14" s="629"/>
      <c r="BJ14" s="1263"/>
      <c r="BK14" s="1264">
        <f>SUM(BK10:BK13)</f>
        <v>0</v>
      </c>
      <c r="BL14" s="1271"/>
      <c r="BM14" s="1264">
        <f>SUM(BM10:BM13)</f>
        <v>0</v>
      </c>
      <c r="BN14" s="1271"/>
      <c r="BO14" s="1264">
        <f>SUM(BO10:BO13)</f>
        <v>0</v>
      </c>
      <c r="BP14" s="1271"/>
      <c r="BQ14" s="1264">
        <f>SUM(BQ10:BQ13)</f>
        <v>0</v>
      </c>
      <c r="BR14" s="1271"/>
      <c r="BS14" s="1264">
        <f>SUM(BS10:BS13)</f>
        <v>0</v>
      </c>
      <c r="BT14" s="1271"/>
      <c r="BU14" s="1264">
        <f>SUM(BU10:BU13)</f>
        <v>0</v>
      </c>
      <c r="BV14" s="1271"/>
      <c r="BW14" s="1264">
        <f>SUM(BW10:BW13)</f>
        <v>0</v>
      </c>
      <c r="BX14" s="1271"/>
      <c r="BY14" s="1264">
        <f>SUM(BY10:BY13)</f>
        <v>0</v>
      </c>
      <c r="BZ14" s="1271"/>
      <c r="CA14" s="1264">
        <f>SUM(CA10:CA13)</f>
        <v>408</v>
      </c>
      <c r="CB14" s="1271"/>
      <c r="CC14" s="1264">
        <f>SUM(CC10:CC13)</f>
        <v>408</v>
      </c>
      <c r="CD14" s="1271"/>
      <c r="CE14" s="1264">
        <f>SUM(CE10:CE13)</f>
        <v>389</v>
      </c>
      <c r="CF14" s="1271"/>
      <c r="CG14" s="1264">
        <f>SUM(CG10:CG13)</f>
        <v>376</v>
      </c>
      <c r="CH14" s="1271"/>
      <c r="CI14" s="1264">
        <f>SUM(CI10:CI13)</f>
        <v>401</v>
      </c>
      <c r="CJ14" s="1271"/>
      <c r="CK14" s="1264">
        <f>SUM(CK10:CK13)</f>
        <v>414</v>
      </c>
      <c r="CL14" s="1271"/>
      <c r="CM14" s="1264">
        <f>SUM(CM10:CM13)</f>
        <v>401</v>
      </c>
      <c r="CN14" s="1271"/>
      <c r="CO14" s="1264">
        <f>SUM(CO10:CO13)</f>
        <v>325</v>
      </c>
      <c r="CP14" s="1271"/>
      <c r="CQ14" s="1264">
        <f>SUM(CQ10:CQ13)</f>
        <v>586</v>
      </c>
      <c r="CR14" s="1271"/>
      <c r="CS14" s="1264">
        <f>SUM(CS10:CS13)</f>
        <v>516</v>
      </c>
      <c r="CT14" s="1271"/>
      <c r="CU14" s="1264">
        <f>SUM(CU10:CU13)</f>
        <v>0</v>
      </c>
      <c r="CV14" s="1271"/>
      <c r="CW14" s="1264">
        <f>SUM(CW10:CW13)</f>
        <v>0</v>
      </c>
      <c r="CX14" s="1271"/>
      <c r="CY14" s="1264">
        <f>SUM(CY10:CY13)</f>
        <v>0</v>
      </c>
      <c r="CZ14" s="1271"/>
      <c r="DA14" s="1264">
        <f>SUM(DA10:DA13)</f>
        <v>0</v>
      </c>
      <c r="DB14" s="1271"/>
      <c r="DC14" s="1264">
        <f>SUM(DC10:DC13)</f>
        <v>0</v>
      </c>
      <c r="DD14" s="1271"/>
      <c r="DE14" s="1266">
        <f>SUM(DE10:DE13)</f>
        <v>0</v>
      </c>
      <c r="DF14" s="635"/>
      <c r="DG14" s="628"/>
      <c r="DH14" s="629"/>
      <c r="DI14" s="629"/>
      <c r="DJ14" s="630" t="s">
        <v>529</v>
      </c>
      <c r="DK14" s="629"/>
      <c r="DL14" s="629"/>
      <c r="DM14" s="1263"/>
      <c r="DN14" s="1264">
        <f>SUM(DN10:DN13)</f>
        <v>0</v>
      </c>
      <c r="DO14" s="1271"/>
      <c r="DP14" s="1264">
        <f>SUM(DP10:DP13)</f>
        <v>0</v>
      </c>
      <c r="DQ14" s="1271"/>
      <c r="DR14" s="1264">
        <f>SUM(DR10:DR13)</f>
        <v>0</v>
      </c>
      <c r="DS14" s="1271"/>
      <c r="DT14" s="1264">
        <f>SUM(DT10:DT13)</f>
        <v>0</v>
      </c>
      <c r="DU14" s="1271"/>
      <c r="DV14" s="1264">
        <f>SUM(DV10:DV13)</f>
        <v>0</v>
      </c>
      <c r="DW14" s="1271"/>
      <c r="DX14" s="1264">
        <f>SUM(DX10:DX13)</f>
        <v>0</v>
      </c>
      <c r="DY14" s="1271"/>
      <c r="DZ14" s="1264">
        <f>SUM(DZ10:DZ13)</f>
        <v>0</v>
      </c>
      <c r="EA14" s="1271"/>
      <c r="EB14" s="1264">
        <f>SUM(EB10:EB13)</f>
        <v>0</v>
      </c>
      <c r="EC14" s="1271"/>
      <c r="ED14" s="1264">
        <f>SUM(ED10:ED13)</f>
        <v>350</v>
      </c>
      <c r="EE14" s="1271"/>
      <c r="EF14" s="1264">
        <f>SUM(EF10:EF13)</f>
        <v>357</v>
      </c>
      <c r="EG14" s="1271"/>
      <c r="EH14" s="1264">
        <f>SUM(EH10:EH13)</f>
        <v>363</v>
      </c>
      <c r="EI14" s="1271"/>
      <c r="EJ14" s="1264">
        <f>SUM(EJ10:EJ13)</f>
        <v>357</v>
      </c>
      <c r="EK14" s="1271"/>
      <c r="EL14" s="1264">
        <f>SUM(EL10:EL13)</f>
        <v>363</v>
      </c>
      <c r="EM14" s="1271"/>
      <c r="EN14" s="1264">
        <f>SUM(EN10:EN13)</f>
        <v>357</v>
      </c>
      <c r="EO14" s="1271"/>
      <c r="EP14" s="1264">
        <f>SUM(EP10:EP13)</f>
        <v>325</v>
      </c>
      <c r="EQ14" s="1271"/>
      <c r="ER14" s="1264">
        <f>SUM(ER10:ER13)</f>
        <v>248</v>
      </c>
      <c r="ES14" s="1271"/>
      <c r="ET14" s="1264">
        <f>SUM(ET10:ET13)</f>
        <v>121</v>
      </c>
      <c r="EU14" s="1271"/>
      <c r="EV14" s="1264">
        <f>SUM(EV10:EV13)</f>
        <v>13</v>
      </c>
      <c r="EW14" s="1271"/>
      <c r="EX14" s="1264">
        <f>SUM(EX10:EX13)</f>
        <v>0</v>
      </c>
      <c r="EY14" s="1271"/>
      <c r="EZ14" s="1264">
        <f>SUM(EZ10:EZ13)</f>
        <v>0</v>
      </c>
      <c r="FA14" s="1271"/>
      <c r="FB14" s="1264">
        <f>SUM(FB10:FB13)</f>
        <v>0</v>
      </c>
      <c r="FC14" s="1271"/>
      <c r="FD14" s="1264">
        <f>SUM(FD10:FD13)</f>
        <v>0</v>
      </c>
      <c r="FE14" s="1271"/>
      <c r="FF14" s="1264">
        <f>SUM(FF10:FF13)</f>
        <v>0</v>
      </c>
      <c r="FG14" s="1271"/>
      <c r="FH14" s="1266">
        <f>SUM(FH10:FH13)</f>
        <v>0</v>
      </c>
      <c r="FI14" s="636"/>
      <c r="FJ14" s="551"/>
      <c r="FK14" s="629"/>
      <c r="FL14" s="629"/>
      <c r="FM14" s="630" t="s">
        <v>628</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622</v>
      </c>
      <c r="E15" s="647" t="s">
        <v>285</v>
      </c>
      <c r="F15" s="648" t="s">
        <v>104</v>
      </c>
      <c r="G15" s="649" t="s">
        <v>503</v>
      </c>
      <c r="H15" s="650" t="s">
        <v>629</v>
      </c>
      <c r="I15" s="651" t="s">
        <v>288</v>
      </c>
      <c r="J15" s="650" t="s">
        <v>629</v>
      </c>
      <c r="K15" s="651" t="s">
        <v>288</v>
      </c>
      <c r="L15" s="650" t="s">
        <v>502</v>
      </c>
      <c r="M15" s="651" t="s">
        <v>288</v>
      </c>
      <c r="N15" s="650" t="s">
        <v>502</v>
      </c>
      <c r="O15" s="651" t="s">
        <v>288</v>
      </c>
      <c r="P15" s="650" t="s">
        <v>629</v>
      </c>
      <c r="Q15" s="651" t="s">
        <v>288</v>
      </c>
      <c r="R15" s="650" t="s">
        <v>502</v>
      </c>
      <c r="S15" s="651" t="s">
        <v>288</v>
      </c>
      <c r="T15" s="650" t="s">
        <v>630</v>
      </c>
      <c r="U15" s="651" t="s">
        <v>288</v>
      </c>
      <c r="V15" s="650" t="s">
        <v>502</v>
      </c>
      <c r="W15" s="651" t="s">
        <v>288</v>
      </c>
      <c r="X15" s="650" t="s">
        <v>629</v>
      </c>
      <c r="Y15" s="651" t="s">
        <v>288</v>
      </c>
      <c r="Z15" s="650" t="s">
        <v>629</v>
      </c>
      <c r="AA15" s="651" t="s">
        <v>288</v>
      </c>
      <c r="AB15" s="650" t="s">
        <v>502</v>
      </c>
      <c r="AC15" s="651" t="s">
        <v>288</v>
      </c>
      <c r="AD15" s="650" t="s">
        <v>629</v>
      </c>
      <c r="AE15" s="651" t="s">
        <v>288</v>
      </c>
      <c r="AF15" s="650" t="s">
        <v>629</v>
      </c>
      <c r="AG15" s="651" t="s">
        <v>288</v>
      </c>
      <c r="AH15" s="650" t="s">
        <v>629</v>
      </c>
      <c r="AI15" s="651" t="s">
        <v>288</v>
      </c>
      <c r="AJ15" s="650" t="s">
        <v>630</v>
      </c>
      <c r="AK15" s="651" t="s">
        <v>288</v>
      </c>
      <c r="AL15" s="650" t="s">
        <v>502</v>
      </c>
      <c r="AM15" s="651" t="s">
        <v>288</v>
      </c>
      <c r="AN15" s="650" t="s">
        <v>629</v>
      </c>
      <c r="AO15" s="651" t="s">
        <v>288</v>
      </c>
      <c r="AP15" s="650" t="s">
        <v>532</v>
      </c>
      <c r="AQ15" s="651" t="s">
        <v>288</v>
      </c>
      <c r="AR15" s="650" t="s">
        <v>502</v>
      </c>
      <c r="AS15" s="651" t="s">
        <v>288</v>
      </c>
      <c r="AT15" s="650" t="s">
        <v>502</v>
      </c>
      <c r="AU15" s="651" t="s">
        <v>288</v>
      </c>
      <c r="AV15" s="650" t="s">
        <v>629</v>
      </c>
      <c r="AW15" s="651" t="s">
        <v>288</v>
      </c>
      <c r="AX15" s="650" t="s">
        <v>629</v>
      </c>
      <c r="AY15" s="651" t="s">
        <v>288</v>
      </c>
      <c r="AZ15" s="650" t="s">
        <v>629</v>
      </c>
      <c r="BA15" s="651" t="s">
        <v>288</v>
      </c>
      <c r="BB15" s="652" t="s">
        <v>291</v>
      </c>
      <c r="BC15" s="653"/>
      <c r="BD15" s="519" t="s">
        <v>283</v>
      </c>
      <c r="BE15" s="645" t="s">
        <v>261</v>
      </c>
      <c r="BF15" s="646" t="s">
        <v>262</v>
      </c>
      <c r="BG15" s="647" t="s">
        <v>622</v>
      </c>
      <c r="BH15" s="647" t="s">
        <v>285</v>
      </c>
      <c r="BI15" s="648" t="s">
        <v>104</v>
      </c>
      <c r="BJ15" s="649" t="s">
        <v>535</v>
      </c>
      <c r="BK15" s="650" t="s">
        <v>629</v>
      </c>
      <c r="BL15" s="651" t="s">
        <v>288</v>
      </c>
      <c r="BM15" s="650" t="s">
        <v>629</v>
      </c>
      <c r="BN15" s="651" t="s">
        <v>288</v>
      </c>
      <c r="BO15" s="650" t="s">
        <v>629</v>
      </c>
      <c r="BP15" s="651" t="s">
        <v>288</v>
      </c>
      <c r="BQ15" s="650" t="s">
        <v>630</v>
      </c>
      <c r="BR15" s="651" t="s">
        <v>288</v>
      </c>
      <c r="BS15" s="650" t="s">
        <v>629</v>
      </c>
      <c r="BT15" s="651" t="s">
        <v>288</v>
      </c>
      <c r="BU15" s="650" t="s">
        <v>629</v>
      </c>
      <c r="BV15" s="651" t="s">
        <v>288</v>
      </c>
      <c r="BW15" s="650" t="s">
        <v>630</v>
      </c>
      <c r="BX15" s="651" t="s">
        <v>288</v>
      </c>
      <c r="BY15" s="650" t="s">
        <v>502</v>
      </c>
      <c r="BZ15" s="651" t="s">
        <v>288</v>
      </c>
      <c r="CA15" s="650" t="s">
        <v>630</v>
      </c>
      <c r="CB15" s="651" t="s">
        <v>288</v>
      </c>
      <c r="CC15" s="650" t="s">
        <v>502</v>
      </c>
      <c r="CD15" s="651" t="s">
        <v>288</v>
      </c>
      <c r="CE15" s="650" t="s">
        <v>630</v>
      </c>
      <c r="CF15" s="651" t="s">
        <v>288</v>
      </c>
      <c r="CG15" s="650" t="s">
        <v>502</v>
      </c>
      <c r="CH15" s="651" t="s">
        <v>288</v>
      </c>
      <c r="CI15" s="650" t="s">
        <v>630</v>
      </c>
      <c r="CJ15" s="651" t="s">
        <v>288</v>
      </c>
      <c r="CK15" s="650" t="s">
        <v>532</v>
      </c>
      <c r="CL15" s="651" t="s">
        <v>288</v>
      </c>
      <c r="CM15" s="650" t="s">
        <v>629</v>
      </c>
      <c r="CN15" s="651" t="s">
        <v>288</v>
      </c>
      <c r="CO15" s="650" t="s">
        <v>629</v>
      </c>
      <c r="CP15" s="651" t="s">
        <v>288</v>
      </c>
      <c r="CQ15" s="650" t="s">
        <v>502</v>
      </c>
      <c r="CR15" s="651" t="s">
        <v>288</v>
      </c>
      <c r="CS15" s="650" t="s">
        <v>532</v>
      </c>
      <c r="CT15" s="651" t="s">
        <v>288</v>
      </c>
      <c r="CU15" s="650" t="s">
        <v>532</v>
      </c>
      <c r="CV15" s="651" t="s">
        <v>288</v>
      </c>
      <c r="CW15" s="650" t="s">
        <v>502</v>
      </c>
      <c r="CX15" s="651" t="s">
        <v>288</v>
      </c>
      <c r="CY15" s="650" t="s">
        <v>629</v>
      </c>
      <c r="CZ15" s="651" t="s">
        <v>288</v>
      </c>
      <c r="DA15" s="650" t="s">
        <v>629</v>
      </c>
      <c r="DB15" s="651" t="s">
        <v>288</v>
      </c>
      <c r="DC15" s="650" t="s">
        <v>532</v>
      </c>
      <c r="DD15" s="651" t="s">
        <v>288</v>
      </c>
      <c r="DE15" s="652" t="s">
        <v>291</v>
      </c>
      <c r="DF15" s="653"/>
      <c r="DG15" s="519" t="s">
        <v>283</v>
      </c>
      <c r="DH15" s="645" t="s">
        <v>261</v>
      </c>
      <c r="DI15" s="646" t="s">
        <v>262</v>
      </c>
      <c r="DJ15" s="647" t="s">
        <v>622</v>
      </c>
      <c r="DK15" s="647" t="s">
        <v>285</v>
      </c>
      <c r="DL15" s="648" t="s">
        <v>104</v>
      </c>
      <c r="DM15" s="649" t="s">
        <v>503</v>
      </c>
      <c r="DN15" s="650" t="s">
        <v>532</v>
      </c>
      <c r="DO15" s="651" t="s">
        <v>288</v>
      </c>
      <c r="DP15" s="650" t="s">
        <v>502</v>
      </c>
      <c r="DQ15" s="651" t="s">
        <v>288</v>
      </c>
      <c r="DR15" s="650" t="s">
        <v>629</v>
      </c>
      <c r="DS15" s="651" t="s">
        <v>288</v>
      </c>
      <c r="DT15" s="650" t="s">
        <v>629</v>
      </c>
      <c r="DU15" s="651" t="s">
        <v>288</v>
      </c>
      <c r="DV15" s="650" t="s">
        <v>629</v>
      </c>
      <c r="DW15" s="651" t="s">
        <v>288</v>
      </c>
      <c r="DX15" s="650" t="s">
        <v>629</v>
      </c>
      <c r="DY15" s="651" t="s">
        <v>288</v>
      </c>
      <c r="DZ15" s="650" t="s">
        <v>629</v>
      </c>
      <c r="EA15" s="651" t="s">
        <v>288</v>
      </c>
      <c r="EB15" s="650" t="s">
        <v>629</v>
      </c>
      <c r="EC15" s="651" t="s">
        <v>288</v>
      </c>
      <c r="ED15" s="650" t="s">
        <v>629</v>
      </c>
      <c r="EE15" s="651" t="s">
        <v>288</v>
      </c>
      <c r="EF15" s="650" t="s">
        <v>502</v>
      </c>
      <c r="EG15" s="651" t="s">
        <v>288</v>
      </c>
      <c r="EH15" s="650" t="s">
        <v>629</v>
      </c>
      <c r="EI15" s="651" t="s">
        <v>288</v>
      </c>
      <c r="EJ15" s="650" t="s">
        <v>502</v>
      </c>
      <c r="EK15" s="651" t="s">
        <v>288</v>
      </c>
      <c r="EL15" s="650" t="s">
        <v>502</v>
      </c>
      <c r="EM15" s="651" t="s">
        <v>288</v>
      </c>
      <c r="EN15" s="650" t="s">
        <v>629</v>
      </c>
      <c r="EO15" s="651" t="s">
        <v>288</v>
      </c>
      <c r="EP15" s="650" t="s">
        <v>629</v>
      </c>
      <c r="EQ15" s="651" t="s">
        <v>288</v>
      </c>
      <c r="ER15" s="650" t="s">
        <v>629</v>
      </c>
      <c r="ES15" s="651" t="s">
        <v>288</v>
      </c>
      <c r="ET15" s="650" t="s">
        <v>502</v>
      </c>
      <c r="EU15" s="651" t="s">
        <v>288</v>
      </c>
      <c r="EV15" s="650" t="s">
        <v>630</v>
      </c>
      <c r="EW15" s="651" t="s">
        <v>288</v>
      </c>
      <c r="EX15" s="650" t="s">
        <v>629</v>
      </c>
      <c r="EY15" s="651" t="s">
        <v>288</v>
      </c>
      <c r="EZ15" s="650" t="s">
        <v>629</v>
      </c>
      <c r="FA15" s="651" t="s">
        <v>288</v>
      </c>
      <c r="FB15" s="650" t="s">
        <v>629</v>
      </c>
      <c r="FC15" s="651" t="s">
        <v>288</v>
      </c>
      <c r="FD15" s="650" t="s">
        <v>502</v>
      </c>
      <c r="FE15" s="651" t="s">
        <v>288</v>
      </c>
      <c r="FF15" s="650" t="s">
        <v>629</v>
      </c>
      <c r="FG15" s="651" t="s">
        <v>288</v>
      </c>
      <c r="FH15" s="652" t="s">
        <v>291</v>
      </c>
      <c r="FI15" s="654"/>
      <c r="FJ15" s="529" t="s">
        <v>283</v>
      </c>
      <c r="FK15" s="645" t="s">
        <v>261</v>
      </c>
      <c r="FL15" s="646" t="s">
        <v>262</v>
      </c>
      <c r="FM15" s="647" t="s">
        <v>499</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73</v>
      </c>
      <c r="D16" s="542">
        <v>22.05</v>
      </c>
      <c r="E16" s="663" t="s">
        <v>325</v>
      </c>
      <c r="F16" s="664"/>
      <c r="G16" s="665">
        <v>0</v>
      </c>
      <c r="H16" s="546">
        <f>ROUND(22.05*2.1*0,0)</f>
        <v>0</v>
      </c>
      <c r="I16" s="666">
        <v>0</v>
      </c>
      <c r="J16" s="546">
        <f>ROUND(22.05*2.1*0,0)</f>
        <v>0</v>
      </c>
      <c r="K16" s="666">
        <v>0</v>
      </c>
      <c r="L16" s="546">
        <f>ROUND(22.05*2.1*0,0)</f>
        <v>0</v>
      </c>
      <c r="M16" s="666">
        <v>0</v>
      </c>
      <c r="N16" s="546">
        <f>ROUND(22.05*2.1*0,0)</f>
        <v>0</v>
      </c>
      <c r="O16" s="666">
        <v>0</v>
      </c>
      <c r="P16" s="546">
        <f>ROUND(22.05*2.1*0,0)</f>
        <v>0</v>
      </c>
      <c r="Q16" s="666">
        <v>0</v>
      </c>
      <c r="R16" s="546">
        <f>ROUND(22.05*2.1*0,0)</f>
        <v>0</v>
      </c>
      <c r="S16" s="666">
        <v>0</v>
      </c>
      <c r="T16" s="546">
        <f>ROUND(22.05*2.1*0,0)</f>
        <v>0</v>
      </c>
      <c r="U16" s="666">
        <v>0</v>
      </c>
      <c r="V16" s="546">
        <f>ROUND(22.05*2.1*0,0)</f>
        <v>0</v>
      </c>
      <c r="W16" s="666">
        <v>3.3</v>
      </c>
      <c r="X16" s="546">
        <f>ROUND(22.05*2.1*3.3,0)</f>
        <v>153</v>
      </c>
      <c r="Y16" s="666">
        <v>4.5</v>
      </c>
      <c r="Z16" s="546">
        <f>ROUND(22.05*2.1*4.5,0)</f>
        <v>208</v>
      </c>
      <c r="AA16" s="666">
        <v>5.2</v>
      </c>
      <c r="AB16" s="546">
        <f>ROUND(22.05*2.1*5.2,0)</f>
        <v>241</v>
      </c>
      <c r="AC16" s="666">
        <v>5.7</v>
      </c>
      <c r="AD16" s="546">
        <f>ROUND(22.05*2.1*5.7,0)</f>
        <v>264</v>
      </c>
      <c r="AE16" s="666">
        <v>5.9</v>
      </c>
      <c r="AF16" s="546">
        <f>ROUND(22.05*2.1*5.9,0)</f>
        <v>273</v>
      </c>
      <c r="AG16" s="666">
        <v>5.9</v>
      </c>
      <c r="AH16" s="546">
        <f>ROUND(22.05*2.1*5.9,0)</f>
        <v>273</v>
      </c>
      <c r="AI16" s="666">
        <v>5.4</v>
      </c>
      <c r="AJ16" s="546">
        <f>ROUND(22.05*2.1*5.4,0)</f>
        <v>250</v>
      </c>
      <c r="AK16" s="666">
        <v>4.9000000000000004</v>
      </c>
      <c r="AL16" s="546">
        <f>ROUND(22.05*2.1*4.9,0)</f>
        <v>227</v>
      </c>
      <c r="AM16" s="666">
        <v>4</v>
      </c>
      <c r="AN16" s="546">
        <f>ROUND(22.05*2.1*4,0)</f>
        <v>185</v>
      </c>
      <c r="AO16" s="666">
        <v>3.3</v>
      </c>
      <c r="AP16" s="546">
        <f>ROUND(22.05*2.1*3.3,0)</f>
        <v>153</v>
      </c>
      <c r="AQ16" s="666">
        <v>0</v>
      </c>
      <c r="AR16" s="546">
        <f>ROUND(22.05*2.1*0,0)</f>
        <v>0</v>
      </c>
      <c r="AS16" s="666">
        <v>0</v>
      </c>
      <c r="AT16" s="546">
        <f>ROUND(22.05*2.1*0,0)</f>
        <v>0</v>
      </c>
      <c r="AU16" s="666">
        <v>0</v>
      </c>
      <c r="AV16" s="546">
        <f>ROUND(22.05*2.1*0,0)</f>
        <v>0</v>
      </c>
      <c r="AW16" s="666">
        <v>0</v>
      </c>
      <c r="AX16" s="546">
        <f>ROUND(22.05*2.1*0,0)</f>
        <v>0</v>
      </c>
      <c r="AY16" s="666">
        <v>0</v>
      </c>
      <c r="AZ16" s="546">
        <f>ROUND(22.05*2.1*0,0)</f>
        <v>0</v>
      </c>
      <c r="BA16" s="666">
        <v>0</v>
      </c>
      <c r="BB16" s="667">
        <f>ROUND(22.05*2.1*0,0)</f>
        <v>0</v>
      </c>
      <c r="BC16" s="549"/>
      <c r="BD16" s="539"/>
      <c r="BE16" s="541" t="s">
        <v>229</v>
      </c>
      <c r="BF16" s="662" t="s">
        <v>73</v>
      </c>
      <c r="BG16" s="542">
        <v>22.05</v>
      </c>
      <c r="BH16" s="663" t="s">
        <v>325</v>
      </c>
      <c r="BI16" s="664"/>
      <c r="BJ16" s="665">
        <v>0</v>
      </c>
      <c r="BK16" s="546">
        <f>ROUND(22.05*2.1*0,0)</f>
        <v>0</v>
      </c>
      <c r="BL16" s="666">
        <v>0</v>
      </c>
      <c r="BM16" s="546">
        <f>ROUND(22.05*2.1*0,0)</f>
        <v>0</v>
      </c>
      <c r="BN16" s="666">
        <v>0</v>
      </c>
      <c r="BO16" s="546">
        <f>ROUND(22.05*2.1*0,0)</f>
        <v>0</v>
      </c>
      <c r="BP16" s="666">
        <v>0</v>
      </c>
      <c r="BQ16" s="546">
        <f>ROUND(22.05*2.1*0,0)</f>
        <v>0</v>
      </c>
      <c r="BR16" s="666">
        <v>0</v>
      </c>
      <c r="BS16" s="546">
        <f>ROUND(22.05*2.1*0,0)</f>
        <v>0</v>
      </c>
      <c r="BT16" s="666">
        <v>0</v>
      </c>
      <c r="BU16" s="546">
        <f>ROUND(22.05*2.1*0,0)</f>
        <v>0</v>
      </c>
      <c r="BV16" s="666">
        <v>0</v>
      </c>
      <c r="BW16" s="546">
        <f>ROUND(22.05*2.1*0,0)</f>
        <v>0</v>
      </c>
      <c r="BX16" s="666">
        <v>0</v>
      </c>
      <c r="BY16" s="546">
        <f>ROUND(22.05*2.1*0,0)</f>
        <v>0</v>
      </c>
      <c r="BZ16" s="666">
        <v>3.1</v>
      </c>
      <c r="CA16" s="546">
        <f>ROUND(22.05*2.1*3.1,0)</f>
        <v>144</v>
      </c>
      <c r="CB16" s="666">
        <v>4.0999999999999996</v>
      </c>
      <c r="CC16" s="546">
        <f>ROUND(22.05*2.1*4.1,0)</f>
        <v>190</v>
      </c>
      <c r="CD16" s="666">
        <v>5</v>
      </c>
      <c r="CE16" s="546">
        <f>ROUND(22.05*2.1*5,0)</f>
        <v>232</v>
      </c>
      <c r="CF16" s="666">
        <v>5.4</v>
      </c>
      <c r="CG16" s="546">
        <f>ROUND(22.05*2.1*5.4,0)</f>
        <v>250</v>
      </c>
      <c r="CH16" s="666">
        <v>5.6</v>
      </c>
      <c r="CI16" s="546">
        <f>ROUND(22.05*2.1*5.6,0)</f>
        <v>259</v>
      </c>
      <c r="CJ16" s="666">
        <v>5.4</v>
      </c>
      <c r="CK16" s="546">
        <f>ROUND(22.05*2.1*5.4,0)</f>
        <v>250</v>
      </c>
      <c r="CL16" s="666">
        <v>4.9000000000000004</v>
      </c>
      <c r="CM16" s="546">
        <f>ROUND(22.05*2.1*4.9,0)</f>
        <v>227</v>
      </c>
      <c r="CN16" s="666">
        <v>4.5</v>
      </c>
      <c r="CO16" s="546">
        <f>ROUND(22.05*2.1*4.5,0)</f>
        <v>208</v>
      </c>
      <c r="CP16" s="666">
        <v>4</v>
      </c>
      <c r="CQ16" s="546">
        <f>ROUND(22.05*2.1*4,0)</f>
        <v>185</v>
      </c>
      <c r="CR16" s="666">
        <v>3.1</v>
      </c>
      <c r="CS16" s="546">
        <f>ROUND(22.05*2.1*3.1,0)</f>
        <v>144</v>
      </c>
      <c r="CT16" s="666">
        <v>0</v>
      </c>
      <c r="CU16" s="546">
        <f>ROUND(22.05*2.1*0,0)</f>
        <v>0</v>
      </c>
      <c r="CV16" s="666">
        <v>0</v>
      </c>
      <c r="CW16" s="546">
        <f>ROUND(22.05*2.1*0,0)</f>
        <v>0</v>
      </c>
      <c r="CX16" s="666">
        <v>0</v>
      </c>
      <c r="CY16" s="546">
        <f>ROUND(22.05*2.1*0,0)</f>
        <v>0</v>
      </c>
      <c r="CZ16" s="666">
        <v>0</v>
      </c>
      <c r="DA16" s="546">
        <f>ROUND(22.05*2.1*0,0)</f>
        <v>0</v>
      </c>
      <c r="DB16" s="666">
        <v>0</v>
      </c>
      <c r="DC16" s="546">
        <f>ROUND(22.05*2.1*0,0)</f>
        <v>0</v>
      </c>
      <c r="DD16" s="666">
        <v>0</v>
      </c>
      <c r="DE16" s="667">
        <f>ROUND(22.05*2.1*0,0)</f>
        <v>0</v>
      </c>
      <c r="DF16" s="549"/>
      <c r="DG16" s="539"/>
      <c r="DH16" s="541" t="s">
        <v>229</v>
      </c>
      <c r="DI16" s="662" t="s">
        <v>73</v>
      </c>
      <c r="DJ16" s="542">
        <v>22.05</v>
      </c>
      <c r="DK16" s="663" t="s">
        <v>325</v>
      </c>
      <c r="DL16" s="664"/>
      <c r="DM16" s="665">
        <v>0</v>
      </c>
      <c r="DN16" s="546">
        <f>ROUND(22.05*2.1*0,0)</f>
        <v>0</v>
      </c>
      <c r="DO16" s="666">
        <v>0</v>
      </c>
      <c r="DP16" s="546">
        <f>ROUND(22.05*2.1*0,0)</f>
        <v>0</v>
      </c>
      <c r="DQ16" s="666">
        <v>0</v>
      </c>
      <c r="DR16" s="546">
        <f>ROUND(22.05*2.1*0,0)</f>
        <v>0</v>
      </c>
      <c r="DS16" s="666">
        <v>0</v>
      </c>
      <c r="DT16" s="546">
        <f>ROUND(22.05*2.1*0,0)</f>
        <v>0</v>
      </c>
      <c r="DU16" s="666">
        <v>0</v>
      </c>
      <c r="DV16" s="546">
        <f>ROUND(22.05*2.1*0,0)</f>
        <v>0</v>
      </c>
      <c r="DW16" s="666">
        <v>0</v>
      </c>
      <c r="DX16" s="546">
        <f>ROUND(22.05*2.1*0,0)</f>
        <v>0</v>
      </c>
      <c r="DY16" s="666">
        <v>0</v>
      </c>
      <c r="DZ16" s="546">
        <f>ROUND(22.05*2.1*0,0)</f>
        <v>0</v>
      </c>
      <c r="EA16" s="666">
        <v>0</v>
      </c>
      <c r="EB16" s="546">
        <f>ROUND(22.05*2.1*0,0)</f>
        <v>0</v>
      </c>
      <c r="EC16" s="666">
        <v>0.80000000000000104</v>
      </c>
      <c r="ED16" s="546">
        <f>ROUND(22.05*2.1*0.800000000000001,0)</f>
        <v>37</v>
      </c>
      <c r="EE16" s="666">
        <v>2.1</v>
      </c>
      <c r="EF16" s="546">
        <f>ROUND(22.05*2.1*2.1,0)</f>
        <v>97</v>
      </c>
      <c r="EG16" s="666">
        <v>2.9</v>
      </c>
      <c r="EH16" s="546">
        <f>ROUND(22.05*2.1*2.9,0)</f>
        <v>134</v>
      </c>
      <c r="EI16" s="666">
        <v>3.6</v>
      </c>
      <c r="EJ16" s="546">
        <f>ROUND(22.05*2.1*3.6,0)</f>
        <v>167</v>
      </c>
      <c r="EK16" s="666">
        <v>3.8</v>
      </c>
      <c r="EL16" s="546">
        <f>ROUND(22.05*2.1*3.8,0)</f>
        <v>176</v>
      </c>
      <c r="EM16" s="666">
        <v>3.5</v>
      </c>
      <c r="EN16" s="546">
        <f>ROUND(22.05*2.1*3.5,0)</f>
        <v>162</v>
      </c>
      <c r="EO16" s="666">
        <v>3.1</v>
      </c>
      <c r="EP16" s="546">
        <f>ROUND(22.05*2.1*3.1,0)</f>
        <v>144</v>
      </c>
      <c r="EQ16" s="666">
        <v>2.7</v>
      </c>
      <c r="ER16" s="546">
        <f>ROUND(22.05*2.1*2.7,0)</f>
        <v>125</v>
      </c>
      <c r="ES16" s="666">
        <v>1.7</v>
      </c>
      <c r="ET16" s="546">
        <f>ROUND(22.05*2.1*1.7,0)</f>
        <v>79</v>
      </c>
      <c r="EU16" s="666">
        <v>0.69999999999999896</v>
      </c>
      <c r="EV16" s="546">
        <f>ROUND(22.05*2.1*0.699999999999999,0)</f>
        <v>32</v>
      </c>
      <c r="EW16" s="666">
        <v>0</v>
      </c>
      <c r="EX16" s="546">
        <f>ROUND(22.05*2.1*0,0)</f>
        <v>0</v>
      </c>
      <c r="EY16" s="666">
        <v>0</v>
      </c>
      <c r="EZ16" s="546">
        <f>ROUND(22.05*2.1*0,0)</f>
        <v>0</v>
      </c>
      <c r="FA16" s="666">
        <v>0</v>
      </c>
      <c r="FB16" s="546">
        <f>ROUND(22.05*2.1*0,0)</f>
        <v>0</v>
      </c>
      <c r="FC16" s="666">
        <v>0</v>
      </c>
      <c r="FD16" s="546">
        <f>ROUND(22.05*2.1*0,0)</f>
        <v>0</v>
      </c>
      <c r="FE16" s="666">
        <v>0</v>
      </c>
      <c r="FF16" s="546">
        <f>ROUND(22.05*2.1*0,0)</f>
        <v>0</v>
      </c>
      <c r="FG16" s="666">
        <v>0</v>
      </c>
      <c r="FH16" s="667">
        <f>ROUND(22.05*2.1*0,0)</f>
        <v>0</v>
      </c>
      <c r="FI16" s="550"/>
      <c r="FJ16" s="551"/>
      <c r="FK16" s="541" t="s">
        <v>229</v>
      </c>
      <c r="FL16" s="662" t="s">
        <v>73</v>
      </c>
      <c r="FM16" s="542">
        <v>22.05</v>
      </c>
      <c r="FN16" s="663" t="s">
        <v>325</v>
      </c>
      <c r="FO16" s="664"/>
      <c r="FP16" s="668">
        <v>9</v>
      </c>
      <c r="FQ16" s="669">
        <v>17</v>
      </c>
      <c r="FR16" s="546">
        <f>ROUND(22.05*2.1*17,0)</f>
        <v>787</v>
      </c>
      <c r="FS16" s="670">
        <v>9</v>
      </c>
      <c r="FT16" s="669">
        <v>17.5</v>
      </c>
      <c r="FU16" s="554">
        <f>ROUND(22.05*2.1*17.5,0)</f>
        <v>810</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73</v>
      </c>
      <c r="D17" s="570">
        <v>31.95</v>
      </c>
      <c r="E17" s="675">
        <v>0.9</v>
      </c>
      <c r="F17" s="676"/>
      <c r="G17" s="677">
        <v>0</v>
      </c>
      <c r="H17" s="574">
        <f>ROUND(31.95*0.9*0,0)</f>
        <v>0</v>
      </c>
      <c r="I17" s="678">
        <v>0</v>
      </c>
      <c r="J17" s="574">
        <f>ROUND(31.95*0.9*0,0)</f>
        <v>0</v>
      </c>
      <c r="K17" s="678">
        <v>0</v>
      </c>
      <c r="L17" s="574">
        <f>ROUND(31.95*0.9*0,0)</f>
        <v>0</v>
      </c>
      <c r="M17" s="678">
        <v>0</v>
      </c>
      <c r="N17" s="574">
        <f>ROUND(31.95*0.9*0,0)</f>
        <v>0</v>
      </c>
      <c r="O17" s="678">
        <v>0</v>
      </c>
      <c r="P17" s="574">
        <f>ROUND(31.95*0.9*0,0)</f>
        <v>0</v>
      </c>
      <c r="Q17" s="678">
        <v>0</v>
      </c>
      <c r="R17" s="574">
        <f>ROUND(31.95*0.9*0,0)</f>
        <v>0</v>
      </c>
      <c r="S17" s="678">
        <v>0</v>
      </c>
      <c r="T17" s="574">
        <f>ROUND(31.95*0.9*0,0)</f>
        <v>0</v>
      </c>
      <c r="U17" s="678">
        <v>0</v>
      </c>
      <c r="V17" s="574">
        <f>ROUND(31.95*0.9*0,0)</f>
        <v>0</v>
      </c>
      <c r="W17" s="678">
        <v>1.5</v>
      </c>
      <c r="X17" s="574">
        <f>ROUND(31.95*0.9*1.5,0)</f>
        <v>43</v>
      </c>
      <c r="Y17" s="678">
        <v>2.1</v>
      </c>
      <c r="Z17" s="574">
        <f>ROUND(31.95*0.9*2.1,0)</f>
        <v>60</v>
      </c>
      <c r="AA17" s="678">
        <v>2.9</v>
      </c>
      <c r="AB17" s="574">
        <f>ROUND(31.95*0.9*2.9,0)</f>
        <v>83</v>
      </c>
      <c r="AC17" s="678">
        <v>3.8</v>
      </c>
      <c r="AD17" s="574">
        <f>ROUND(31.95*0.9*3.8,0)</f>
        <v>109</v>
      </c>
      <c r="AE17" s="678">
        <v>4.7</v>
      </c>
      <c r="AF17" s="574">
        <f>ROUND(31.95*0.9*4.7,0)</f>
        <v>135</v>
      </c>
      <c r="AG17" s="678">
        <v>5.5</v>
      </c>
      <c r="AH17" s="574">
        <f>ROUND(31.95*0.9*5.5,0)</f>
        <v>158</v>
      </c>
      <c r="AI17" s="678">
        <v>6.2</v>
      </c>
      <c r="AJ17" s="574">
        <f>ROUND(31.95*0.9*6.2,0)</f>
        <v>178</v>
      </c>
      <c r="AK17" s="678">
        <v>6.8</v>
      </c>
      <c r="AL17" s="574">
        <f>ROUND(31.95*0.9*6.8,0)</f>
        <v>196</v>
      </c>
      <c r="AM17" s="678">
        <v>7.1</v>
      </c>
      <c r="AN17" s="574">
        <f>ROUND(31.95*0.9*7.1,0)</f>
        <v>204</v>
      </c>
      <c r="AO17" s="678">
        <v>7.2</v>
      </c>
      <c r="AP17" s="574">
        <f>ROUND(31.95*0.9*7.2,0)</f>
        <v>207</v>
      </c>
      <c r="AQ17" s="678">
        <v>0</v>
      </c>
      <c r="AR17" s="574">
        <f>ROUND(31.95*0.9*0,0)</f>
        <v>0</v>
      </c>
      <c r="AS17" s="678">
        <v>0</v>
      </c>
      <c r="AT17" s="574">
        <f>ROUND(31.95*0.9*0,0)</f>
        <v>0</v>
      </c>
      <c r="AU17" s="678">
        <v>0</v>
      </c>
      <c r="AV17" s="574">
        <f>ROUND(31.95*0.9*0,0)</f>
        <v>0</v>
      </c>
      <c r="AW17" s="678">
        <v>0</v>
      </c>
      <c r="AX17" s="574">
        <f>ROUND(31.95*0.9*0,0)</f>
        <v>0</v>
      </c>
      <c r="AY17" s="678">
        <v>0</v>
      </c>
      <c r="AZ17" s="574">
        <f>ROUND(31.95*0.9*0,0)</f>
        <v>0</v>
      </c>
      <c r="BA17" s="678">
        <v>0</v>
      </c>
      <c r="BB17" s="576">
        <f>ROUND(31.95*0.9*0,0)</f>
        <v>0</v>
      </c>
      <c r="BC17" s="549"/>
      <c r="BD17" s="539"/>
      <c r="BE17" s="569" t="s">
        <v>213</v>
      </c>
      <c r="BF17" s="674" t="s">
        <v>73</v>
      </c>
      <c r="BG17" s="570">
        <v>31.95</v>
      </c>
      <c r="BH17" s="675">
        <v>0.9</v>
      </c>
      <c r="BI17" s="676"/>
      <c r="BJ17" s="677">
        <v>0</v>
      </c>
      <c r="BK17" s="574">
        <f>ROUND(31.95*0.9*0,0)</f>
        <v>0</v>
      </c>
      <c r="BL17" s="678">
        <v>0</v>
      </c>
      <c r="BM17" s="574">
        <f>ROUND(31.95*0.9*0,0)</f>
        <v>0</v>
      </c>
      <c r="BN17" s="678">
        <v>0</v>
      </c>
      <c r="BO17" s="574">
        <f>ROUND(31.95*0.9*0,0)</f>
        <v>0</v>
      </c>
      <c r="BP17" s="678">
        <v>0</v>
      </c>
      <c r="BQ17" s="574">
        <f>ROUND(31.95*0.9*0,0)</f>
        <v>0</v>
      </c>
      <c r="BR17" s="678">
        <v>0</v>
      </c>
      <c r="BS17" s="574">
        <f>ROUND(31.95*0.9*0,0)</f>
        <v>0</v>
      </c>
      <c r="BT17" s="678">
        <v>0</v>
      </c>
      <c r="BU17" s="574">
        <f>ROUND(31.95*0.9*0,0)</f>
        <v>0</v>
      </c>
      <c r="BV17" s="678">
        <v>0</v>
      </c>
      <c r="BW17" s="574">
        <f>ROUND(31.95*0.9*0,0)</f>
        <v>0</v>
      </c>
      <c r="BX17" s="678">
        <v>0</v>
      </c>
      <c r="BY17" s="574">
        <f>ROUND(31.95*0.9*0,0)</f>
        <v>0</v>
      </c>
      <c r="BZ17" s="678">
        <v>1.1000000000000001</v>
      </c>
      <c r="CA17" s="574">
        <f>ROUND(31.95*0.9*1.1,0)</f>
        <v>32</v>
      </c>
      <c r="CB17" s="678">
        <v>1.6</v>
      </c>
      <c r="CC17" s="574">
        <f>ROUND(31.95*0.9*1.6,0)</f>
        <v>46</v>
      </c>
      <c r="CD17" s="678">
        <v>2.2999999999999998</v>
      </c>
      <c r="CE17" s="574">
        <f>ROUND(31.95*0.9*2.3,0)</f>
        <v>66</v>
      </c>
      <c r="CF17" s="678">
        <v>3.1</v>
      </c>
      <c r="CG17" s="574">
        <f>ROUND(31.95*0.9*3.1,0)</f>
        <v>89</v>
      </c>
      <c r="CH17" s="678">
        <v>3.8</v>
      </c>
      <c r="CI17" s="574">
        <f>ROUND(31.95*0.9*3.8,0)</f>
        <v>109</v>
      </c>
      <c r="CJ17" s="678">
        <v>4.5</v>
      </c>
      <c r="CK17" s="574">
        <f>ROUND(31.95*0.9*4.5,0)</f>
        <v>129</v>
      </c>
      <c r="CL17" s="678">
        <v>5.0999999999999996</v>
      </c>
      <c r="CM17" s="574">
        <f>ROUND(31.95*0.9*5.1,0)</f>
        <v>147</v>
      </c>
      <c r="CN17" s="678">
        <v>5.6</v>
      </c>
      <c r="CO17" s="574">
        <f>ROUND(31.95*0.9*5.6,0)</f>
        <v>161</v>
      </c>
      <c r="CP17" s="678">
        <v>6</v>
      </c>
      <c r="CQ17" s="574">
        <f>ROUND(31.95*0.9*6,0)</f>
        <v>173</v>
      </c>
      <c r="CR17" s="678">
        <v>6.4</v>
      </c>
      <c r="CS17" s="574">
        <f>ROUND(31.95*0.9*6.4,0)</f>
        <v>184</v>
      </c>
      <c r="CT17" s="678">
        <v>0</v>
      </c>
      <c r="CU17" s="574">
        <f>ROUND(31.95*0.9*0,0)</f>
        <v>0</v>
      </c>
      <c r="CV17" s="678">
        <v>0</v>
      </c>
      <c r="CW17" s="574">
        <f>ROUND(31.95*0.9*0,0)</f>
        <v>0</v>
      </c>
      <c r="CX17" s="678">
        <v>0</v>
      </c>
      <c r="CY17" s="574">
        <f>ROUND(31.95*0.9*0,0)</f>
        <v>0</v>
      </c>
      <c r="CZ17" s="678">
        <v>0</v>
      </c>
      <c r="DA17" s="574">
        <f>ROUND(31.95*0.9*0,0)</f>
        <v>0</v>
      </c>
      <c r="DB17" s="678">
        <v>0</v>
      </c>
      <c r="DC17" s="574">
        <f>ROUND(31.95*0.9*0,0)</f>
        <v>0</v>
      </c>
      <c r="DD17" s="678">
        <v>0</v>
      </c>
      <c r="DE17" s="576">
        <f>ROUND(31.95*0.9*0,0)</f>
        <v>0</v>
      </c>
      <c r="DF17" s="549"/>
      <c r="DG17" s="539"/>
      <c r="DH17" s="569" t="s">
        <v>213</v>
      </c>
      <c r="DI17" s="674" t="s">
        <v>73</v>
      </c>
      <c r="DJ17" s="570">
        <v>31.95</v>
      </c>
      <c r="DK17" s="675">
        <v>0.9</v>
      </c>
      <c r="DL17" s="676"/>
      <c r="DM17" s="677">
        <v>0</v>
      </c>
      <c r="DN17" s="574">
        <f>ROUND(31.95*0.9*0,0)</f>
        <v>0</v>
      </c>
      <c r="DO17" s="678">
        <v>0</v>
      </c>
      <c r="DP17" s="574">
        <f>ROUND(31.95*0.9*0,0)</f>
        <v>0</v>
      </c>
      <c r="DQ17" s="678">
        <v>0</v>
      </c>
      <c r="DR17" s="574">
        <f>ROUND(31.95*0.9*0,0)</f>
        <v>0</v>
      </c>
      <c r="DS17" s="678">
        <v>0</v>
      </c>
      <c r="DT17" s="574">
        <f>ROUND(31.95*0.9*0,0)</f>
        <v>0</v>
      </c>
      <c r="DU17" s="678">
        <v>0</v>
      </c>
      <c r="DV17" s="574">
        <f>ROUND(31.95*0.9*0,0)</f>
        <v>0</v>
      </c>
      <c r="DW17" s="678">
        <v>0</v>
      </c>
      <c r="DX17" s="574">
        <f>ROUND(31.95*0.9*0,0)</f>
        <v>0</v>
      </c>
      <c r="DY17" s="678">
        <v>0</v>
      </c>
      <c r="DZ17" s="574">
        <f>ROUND(31.95*0.9*0,0)</f>
        <v>0</v>
      </c>
      <c r="EA17" s="678">
        <v>0</v>
      </c>
      <c r="EB17" s="574">
        <f>ROUND(31.95*0.9*0,0)</f>
        <v>0</v>
      </c>
      <c r="EC17" s="678">
        <v>0</v>
      </c>
      <c r="ED17" s="574">
        <f>ROUND(31.95*0.9*0,0)</f>
        <v>0</v>
      </c>
      <c r="EE17" s="678">
        <v>0</v>
      </c>
      <c r="EF17" s="574">
        <f>ROUND(31.95*0.9*0,0)</f>
        <v>0</v>
      </c>
      <c r="EG17" s="678">
        <v>0</v>
      </c>
      <c r="EH17" s="574">
        <f>ROUND(31.95*0.9*0,0)</f>
        <v>0</v>
      </c>
      <c r="EI17" s="678">
        <v>0.4</v>
      </c>
      <c r="EJ17" s="574">
        <f>ROUND(31.95*0.9*0.4,0)</f>
        <v>12</v>
      </c>
      <c r="EK17" s="678">
        <v>1.3</v>
      </c>
      <c r="EL17" s="574">
        <f>ROUND(31.95*0.9*1.3,0)</f>
        <v>37</v>
      </c>
      <c r="EM17" s="678">
        <v>2.1</v>
      </c>
      <c r="EN17" s="574">
        <f>ROUND(31.95*0.9*2.1,0)</f>
        <v>60</v>
      </c>
      <c r="EO17" s="678">
        <v>2.8</v>
      </c>
      <c r="EP17" s="574">
        <f>ROUND(31.95*0.9*2.8,0)</f>
        <v>81</v>
      </c>
      <c r="EQ17" s="678">
        <v>3.3</v>
      </c>
      <c r="ER17" s="574">
        <f>ROUND(31.95*0.9*3.3,0)</f>
        <v>95</v>
      </c>
      <c r="ES17" s="678">
        <v>3.6</v>
      </c>
      <c r="ET17" s="574">
        <f>ROUND(31.95*0.9*3.6,0)</f>
        <v>104</v>
      </c>
      <c r="EU17" s="678">
        <v>3.7</v>
      </c>
      <c r="EV17" s="574">
        <f>ROUND(31.95*0.9*3.7,0)</f>
        <v>106</v>
      </c>
      <c r="EW17" s="678">
        <v>0</v>
      </c>
      <c r="EX17" s="574">
        <f>ROUND(31.95*0.9*0,0)</f>
        <v>0</v>
      </c>
      <c r="EY17" s="678">
        <v>0</v>
      </c>
      <c r="EZ17" s="574">
        <f>ROUND(31.95*0.9*0,0)</f>
        <v>0</v>
      </c>
      <c r="FA17" s="678">
        <v>0</v>
      </c>
      <c r="FB17" s="574">
        <f>ROUND(31.95*0.9*0,0)</f>
        <v>0</v>
      </c>
      <c r="FC17" s="678">
        <v>0</v>
      </c>
      <c r="FD17" s="574">
        <f>ROUND(31.95*0.9*0,0)</f>
        <v>0</v>
      </c>
      <c r="FE17" s="678">
        <v>0</v>
      </c>
      <c r="FF17" s="574">
        <f>ROUND(31.95*0.9*0,0)</f>
        <v>0</v>
      </c>
      <c r="FG17" s="678">
        <v>0</v>
      </c>
      <c r="FH17" s="576">
        <f>ROUND(31.95*0.9*0,0)</f>
        <v>0</v>
      </c>
      <c r="FI17" s="550"/>
      <c r="FJ17" s="551"/>
      <c r="FK17" s="569" t="s">
        <v>213</v>
      </c>
      <c r="FL17" s="674" t="s">
        <v>73</v>
      </c>
      <c r="FM17" s="570">
        <v>31.95</v>
      </c>
      <c r="FN17" s="675">
        <v>0.9</v>
      </c>
      <c r="FO17" s="676"/>
      <c r="FP17" s="679">
        <v>9</v>
      </c>
      <c r="FQ17" s="680">
        <v>17</v>
      </c>
      <c r="FR17" s="574">
        <f>ROUND(31.95*0.9*17,0)</f>
        <v>489</v>
      </c>
      <c r="FS17" s="681">
        <v>9</v>
      </c>
      <c r="FT17" s="680">
        <v>17.5</v>
      </c>
      <c r="FU17" s="579">
        <f>ROUND(31.95*0.9*17.5,0)</f>
        <v>503</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t="s">
        <v>236</v>
      </c>
      <c r="C18" s="674"/>
      <c r="D18" s="570">
        <v>59.13</v>
      </c>
      <c r="E18" s="675">
        <v>2.9</v>
      </c>
      <c r="F18" s="676"/>
      <c r="G18" s="677">
        <v>0</v>
      </c>
      <c r="H18" s="574">
        <f>ROUND(59.13*2.9*0,0)</f>
        <v>0</v>
      </c>
      <c r="I18" s="678">
        <v>0</v>
      </c>
      <c r="J18" s="574">
        <f>ROUND(59.13*2.9*0,0)</f>
        <v>0</v>
      </c>
      <c r="K18" s="678">
        <v>0</v>
      </c>
      <c r="L18" s="574">
        <f>ROUND(59.13*2.9*0,0)</f>
        <v>0</v>
      </c>
      <c r="M18" s="678">
        <v>0</v>
      </c>
      <c r="N18" s="574">
        <f>ROUND(59.13*2.9*0,0)</f>
        <v>0</v>
      </c>
      <c r="O18" s="678">
        <v>0</v>
      </c>
      <c r="P18" s="574">
        <f>ROUND(59.13*2.9*0,0)</f>
        <v>0</v>
      </c>
      <c r="Q18" s="678">
        <v>0</v>
      </c>
      <c r="R18" s="574">
        <f>ROUND(59.13*2.9*0,0)</f>
        <v>0</v>
      </c>
      <c r="S18" s="678">
        <v>0</v>
      </c>
      <c r="T18" s="574">
        <f>ROUND(59.13*2.9*0,0)</f>
        <v>0</v>
      </c>
      <c r="U18" s="678">
        <v>0</v>
      </c>
      <c r="V18" s="574">
        <f>ROUND(59.13*2.9*0,0)</f>
        <v>0</v>
      </c>
      <c r="W18" s="678">
        <v>1</v>
      </c>
      <c r="X18" s="574">
        <f>ROUND(59.13*2.9*1,0)</f>
        <v>171</v>
      </c>
      <c r="Y18" s="678">
        <v>1.3</v>
      </c>
      <c r="Z18" s="574">
        <f>ROUND(59.13*2.9*1.3,0)</f>
        <v>223</v>
      </c>
      <c r="AA18" s="678">
        <v>1.6</v>
      </c>
      <c r="AB18" s="574">
        <f>ROUND(59.13*2.9*1.6,0)</f>
        <v>274</v>
      </c>
      <c r="AC18" s="678">
        <v>1.7</v>
      </c>
      <c r="AD18" s="574">
        <f>ROUND(59.13*2.9*1.7,0)</f>
        <v>292</v>
      </c>
      <c r="AE18" s="678">
        <v>1.8</v>
      </c>
      <c r="AF18" s="574">
        <f>ROUND(59.13*2.9*1.8,0)</f>
        <v>309</v>
      </c>
      <c r="AG18" s="678">
        <v>1.8</v>
      </c>
      <c r="AH18" s="574">
        <f>ROUND(59.13*2.9*1.8,0)</f>
        <v>309</v>
      </c>
      <c r="AI18" s="678">
        <v>1.6</v>
      </c>
      <c r="AJ18" s="574">
        <f>ROUND(59.13*2.9*1.6,0)</f>
        <v>274</v>
      </c>
      <c r="AK18" s="678">
        <v>1.5</v>
      </c>
      <c r="AL18" s="574">
        <f>ROUND(59.13*2.9*1.5,0)</f>
        <v>257</v>
      </c>
      <c r="AM18" s="678">
        <v>1.2</v>
      </c>
      <c r="AN18" s="574">
        <f>ROUND(59.13*2.9*1.2,0)</f>
        <v>206</v>
      </c>
      <c r="AO18" s="678">
        <v>1</v>
      </c>
      <c r="AP18" s="574">
        <f>ROUND(59.13*2.9*1,0)</f>
        <v>171</v>
      </c>
      <c r="AQ18" s="678">
        <v>0</v>
      </c>
      <c r="AR18" s="574">
        <f>ROUND(59.13*2.9*0,0)</f>
        <v>0</v>
      </c>
      <c r="AS18" s="678">
        <v>0</v>
      </c>
      <c r="AT18" s="574">
        <f>ROUND(59.13*2.9*0,0)</f>
        <v>0</v>
      </c>
      <c r="AU18" s="678">
        <v>0</v>
      </c>
      <c r="AV18" s="574">
        <f>ROUND(59.13*2.9*0,0)</f>
        <v>0</v>
      </c>
      <c r="AW18" s="678">
        <v>0</v>
      </c>
      <c r="AX18" s="574">
        <f>ROUND(59.13*2.9*0,0)</f>
        <v>0</v>
      </c>
      <c r="AY18" s="678">
        <v>0</v>
      </c>
      <c r="AZ18" s="574">
        <f>ROUND(59.13*2.9*0,0)</f>
        <v>0</v>
      </c>
      <c r="BA18" s="678">
        <v>0</v>
      </c>
      <c r="BB18" s="576">
        <f>ROUND(59.13*2.9*0,0)</f>
        <v>0</v>
      </c>
      <c r="BC18" s="549"/>
      <c r="BD18" s="539"/>
      <c r="BE18" s="683" t="s">
        <v>236</v>
      </c>
      <c r="BF18" s="674"/>
      <c r="BG18" s="570">
        <v>59.13</v>
      </c>
      <c r="BH18" s="675">
        <v>2.9</v>
      </c>
      <c r="BI18" s="676"/>
      <c r="BJ18" s="677">
        <v>0</v>
      </c>
      <c r="BK18" s="574">
        <f>ROUND(59.13*2.9*0,0)</f>
        <v>0</v>
      </c>
      <c r="BL18" s="678">
        <v>0</v>
      </c>
      <c r="BM18" s="574">
        <f>ROUND(59.13*2.9*0,0)</f>
        <v>0</v>
      </c>
      <c r="BN18" s="678">
        <v>0</v>
      </c>
      <c r="BO18" s="574">
        <f>ROUND(59.13*2.9*0,0)</f>
        <v>0</v>
      </c>
      <c r="BP18" s="678">
        <v>0</v>
      </c>
      <c r="BQ18" s="574">
        <f>ROUND(59.13*2.9*0,0)</f>
        <v>0</v>
      </c>
      <c r="BR18" s="678">
        <v>0</v>
      </c>
      <c r="BS18" s="574">
        <f>ROUND(59.13*2.9*0,0)</f>
        <v>0</v>
      </c>
      <c r="BT18" s="678">
        <v>0</v>
      </c>
      <c r="BU18" s="574">
        <f>ROUND(59.13*2.9*0,0)</f>
        <v>0</v>
      </c>
      <c r="BV18" s="678">
        <v>0</v>
      </c>
      <c r="BW18" s="574">
        <f>ROUND(59.13*2.9*0,0)</f>
        <v>0</v>
      </c>
      <c r="BX18" s="678">
        <v>0</v>
      </c>
      <c r="BY18" s="574">
        <f>ROUND(59.13*2.9*0,0)</f>
        <v>0</v>
      </c>
      <c r="BZ18" s="678">
        <v>0.9</v>
      </c>
      <c r="CA18" s="574">
        <f>ROUND(59.13*2.9*0.9,0)</f>
        <v>154</v>
      </c>
      <c r="CB18" s="678">
        <v>1.2</v>
      </c>
      <c r="CC18" s="574">
        <f>ROUND(59.13*2.9*1.2,0)</f>
        <v>206</v>
      </c>
      <c r="CD18" s="678">
        <v>1.5</v>
      </c>
      <c r="CE18" s="574">
        <f>ROUND(59.13*2.9*1.5,0)</f>
        <v>257</v>
      </c>
      <c r="CF18" s="678">
        <v>1.6</v>
      </c>
      <c r="CG18" s="574">
        <f>ROUND(59.13*2.9*1.6,0)</f>
        <v>274</v>
      </c>
      <c r="CH18" s="678">
        <v>1.7</v>
      </c>
      <c r="CI18" s="574">
        <f>ROUND(59.13*2.9*1.7,0)</f>
        <v>292</v>
      </c>
      <c r="CJ18" s="678">
        <v>1.6</v>
      </c>
      <c r="CK18" s="574">
        <f>ROUND(59.13*2.9*1.6,0)</f>
        <v>274</v>
      </c>
      <c r="CL18" s="678">
        <v>1.5</v>
      </c>
      <c r="CM18" s="574">
        <f>ROUND(59.13*2.9*1.5,0)</f>
        <v>257</v>
      </c>
      <c r="CN18" s="678">
        <v>1.3</v>
      </c>
      <c r="CO18" s="574">
        <f>ROUND(59.13*2.9*1.3,0)</f>
        <v>223</v>
      </c>
      <c r="CP18" s="678">
        <v>1.2</v>
      </c>
      <c r="CQ18" s="574">
        <f>ROUND(59.13*2.9*1.2,0)</f>
        <v>206</v>
      </c>
      <c r="CR18" s="678">
        <v>0.9</v>
      </c>
      <c r="CS18" s="574">
        <f>ROUND(59.13*2.9*0.9,0)</f>
        <v>154</v>
      </c>
      <c r="CT18" s="678">
        <v>0</v>
      </c>
      <c r="CU18" s="574">
        <f>ROUND(59.13*2.9*0,0)</f>
        <v>0</v>
      </c>
      <c r="CV18" s="678">
        <v>0</v>
      </c>
      <c r="CW18" s="574">
        <f>ROUND(59.13*2.9*0,0)</f>
        <v>0</v>
      </c>
      <c r="CX18" s="678">
        <v>0</v>
      </c>
      <c r="CY18" s="574">
        <f>ROUND(59.13*2.9*0,0)</f>
        <v>0</v>
      </c>
      <c r="CZ18" s="678">
        <v>0</v>
      </c>
      <c r="DA18" s="574">
        <f>ROUND(59.13*2.9*0,0)</f>
        <v>0</v>
      </c>
      <c r="DB18" s="678">
        <v>0</v>
      </c>
      <c r="DC18" s="574">
        <f>ROUND(59.13*2.9*0,0)</f>
        <v>0</v>
      </c>
      <c r="DD18" s="678">
        <v>0</v>
      </c>
      <c r="DE18" s="576">
        <f>ROUND(59.13*2.9*0,0)</f>
        <v>0</v>
      </c>
      <c r="DF18" s="549"/>
      <c r="DG18" s="539"/>
      <c r="DH18" s="683" t="s">
        <v>236</v>
      </c>
      <c r="DI18" s="674"/>
      <c r="DJ18" s="570">
        <v>59.13</v>
      </c>
      <c r="DK18" s="675">
        <v>2.9</v>
      </c>
      <c r="DL18" s="676"/>
      <c r="DM18" s="677">
        <v>0</v>
      </c>
      <c r="DN18" s="574">
        <f>ROUND(59.13*2.9*0,0)</f>
        <v>0</v>
      </c>
      <c r="DO18" s="678">
        <v>0</v>
      </c>
      <c r="DP18" s="574">
        <f>ROUND(59.13*2.9*0,0)</f>
        <v>0</v>
      </c>
      <c r="DQ18" s="678">
        <v>0</v>
      </c>
      <c r="DR18" s="574">
        <f>ROUND(59.13*2.9*0,0)</f>
        <v>0</v>
      </c>
      <c r="DS18" s="678">
        <v>0</v>
      </c>
      <c r="DT18" s="574">
        <f>ROUND(59.13*2.9*0,0)</f>
        <v>0</v>
      </c>
      <c r="DU18" s="678">
        <v>0</v>
      </c>
      <c r="DV18" s="574">
        <f>ROUND(59.13*2.9*0,0)</f>
        <v>0</v>
      </c>
      <c r="DW18" s="678">
        <v>0</v>
      </c>
      <c r="DX18" s="574">
        <f>ROUND(59.13*2.9*0,0)</f>
        <v>0</v>
      </c>
      <c r="DY18" s="678">
        <v>0</v>
      </c>
      <c r="DZ18" s="574">
        <f>ROUND(59.13*2.9*0,0)</f>
        <v>0</v>
      </c>
      <c r="EA18" s="678">
        <v>0</v>
      </c>
      <c r="EB18" s="574">
        <f>ROUND(59.13*2.9*0,0)</f>
        <v>0</v>
      </c>
      <c r="EC18" s="678">
        <v>0.2</v>
      </c>
      <c r="ED18" s="574">
        <f>ROUND(59.13*2.9*0.2,0)</f>
        <v>34</v>
      </c>
      <c r="EE18" s="678">
        <v>0.6</v>
      </c>
      <c r="EF18" s="574">
        <f>ROUND(59.13*2.9*0.6,0)</f>
        <v>103</v>
      </c>
      <c r="EG18" s="678">
        <v>0.9</v>
      </c>
      <c r="EH18" s="574">
        <f>ROUND(59.13*2.9*0.9,0)</f>
        <v>154</v>
      </c>
      <c r="EI18" s="678">
        <v>1.1000000000000001</v>
      </c>
      <c r="EJ18" s="574">
        <f>ROUND(59.13*2.9*1.1,0)</f>
        <v>189</v>
      </c>
      <c r="EK18" s="678">
        <v>1.1000000000000001</v>
      </c>
      <c r="EL18" s="574">
        <f>ROUND(59.13*2.9*1.1,0)</f>
        <v>189</v>
      </c>
      <c r="EM18" s="678">
        <v>1</v>
      </c>
      <c r="EN18" s="574">
        <f>ROUND(59.13*2.9*1,0)</f>
        <v>171</v>
      </c>
      <c r="EO18" s="678">
        <v>0.9</v>
      </c>
      <c r="EP18" s="574">
        <f>ROUND(59.13*2.9*0.9,0)</f>
        <v>154</v>
      </c>
      <c r="EQ18" s="678">
        <v>0.8</v>
      </c>
      <c r="ER18" s="574">
        <f>ROUND(59.13*2.9*0.8,0)</f>
        <v>137</v>
      </c>
      <c r="ES18" s="678">
        <v>0.5</v>
      </c>
      <c r="ET18" s="574">
        <f>ROUND(59.13*2.9*0.5,0)</f>
        <v>86</v>
      </c>
      <c r="EU18" s="678">
        <v>0.2</v>
      </c>
      <c r="EV18" s="574">
        <f>ROUND(59.13*2.9*0.2,0)</f>
        <v>34</v>
      </c>
      <c r="EW18" s="678">
        <v>0</v>
      </c>
      <c r="EX18" s="574">
        <f>ROUND(59.13*2.9*0,0)</f>
        <v>0</v>
      </c>
      <c r="EY18" s="678">
        <v>0</v>
      </c>
      <c r="EZ18" s="574">
        <f>ROUND(59.13*2.9*0,0)</f>
        <v>0</v>
      </c>
      <c r="FA18" s="678">
        <v>0</v>
      </c>
      <c r="FB18" s="574">
        <f>ROUND(59.13*2.9*0,0)</f>
        <v>0</v>
      </c>
      <c r="FC18" s="678">
        <v>0</v>
      </c>
      <c r="FD18" s="574">
        <f>ROUND(59.13*2.9*0,0)</f>
        <v>0</v>
      </c>
      <c r="FE18" s="678">
        <v>0</v>
      </c>
      <c r="FF18" s="574">
        <f>ROUND(59.13*2.9*0,0)</f>
        <v>0</v>
      </c>
      <c r="FG18" s="678">
        <v>0</v>
      </c>
      <c r="FH18" s="576">
        <f>ROUND(59.13*2.9*0,0)</f>
        <v>0</v>
      </c>
      <c r="FI18" s="550"/>
      <c r="FJ18" s="551"/>
      <c r="FK18" s="683" t="s">
        <v>236</v>
      </c>
      <c r="FL18" s="674"/>
      <c r="FM18" s="570">
        <v>59.13</v>
      </c>
      <c r="FN18" s="675">
        <v>2.9</v>
      </c>
      <c r="FO18" s="676"/>
      <c r="FP18" s="679">
        <v>9</v>
      </c>
      <c r="FQ18" s="680">
        <v>5.0999999999999996</v>
      </c>
      <c r="FR18" s="574">
        <f>ROUND(59.13*2.9*5.1,0)</f>
        <v>875</v>
      </c>
      <c r="FS18" s="681">
        <v>9</v>
      </c>
      <c r="FT18" s="680">
        <v>5.2</v>
      </c>
      <c r="FU18" s="579">
        <f>ROUND(59.13*2.9*5.2,0)</f>
        <v>892</v>
      </c>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c r="C19" s="674"/>
      <c r="D19" s="570"/>
      <c r="E19" s="675"/>
      <c r="F19" s="676"/>
      <c r="G19" s="677"/>
      <c r="H19" s="574"/>
      <c r="I19" s="678"/>
      <c r="J19" s="574"/>
      <c r="K19" s="678"/>
      <c r="L19" s="574"/>
      <c r="M19" s="678"/>
      <c r="N19" s="574"/>
      <c r="O19" s="678"/>
      <c r="P19" s="574"/>
      <c r="Q19" s="678"/>
      <c r="R19" s="574"/>
      <c r="S19" s="678"/>
      <c r="T19" s="574"/>
      <c r="U19" s="678"/>
      <c r="V19" s="574"/>
      <c r="W19" s="678"/>
      <c r="X19" s="574"/>
      <c r="Y19" s="678"/>
      <c r="Z19" s="574"/>
      <c r="AA19" s="678"/>
      <c r="AB19" s="574"/>
      <c r="AC19" s="678"/>
      <c r="AD19" s="574"/>
      <c r="AE19" s="678"/>
      <c r="AF19" s="574"/>
      <c r="AG19" s="678"/>
      <c r="AH19" s="574"/>
      <c r="AI19" s="678"/>
      <c r="AJ19" s="574"/>
      <c r="AK19" s="678"/>
      <c r="AL19" s="574"/>
      <c r="AM19" s="678"/>
      <c r="AN19" s="574"/>
      <c r="AO19" s="678"/>
      <c r="AP19" s="574"/>
      <c r="AQ19" s="678"/>
      <c r="AR19" s="574"/>
      <c r="AS19" s="678"/>
      <c r="AT19" s="574"/>
      <c r="AU19" s="678"/>
      <c r="AV19" s="574"/>
      <c r="AW19" s="678"/>
      <c r="AX19" s="574"/>
      <c r="AY19" s="678"/>
      <c r="AZ19" s="574"/>
      <c r="BA19" s="678"/>
      <c r="BB19" s="576"/>
      <c r="BC19" s="549"/>
      <c r="BD19" s="539"/>
      <c r="BE19" s="683"/>
      <c r="BF19" s="674"/>
      <c r="BG19" s="570"/>
      <c r="BH19" s="675"/>
      <c r="BI19" s="676"/>
      <c r="BJ19" s="677"/>
      <c r="BK19" s="574"/>
      <c r="BL19" s="678"/>
      <c r="BM19" s="574"/>
      <c r="BN19" s="678"/>
      <c r="BO19" s="574"/>
      <c r="BP19" s="678"/>
      <c r="BQ19" s="574"/>
      <c r="BR19" s="678"/>
      <c r="BS19" s="574"/>
      <c r="BT19" s="678"/>
      <c r="BU19" s="574"/>
      <c r="BV19" s="678"/>
      <c r="BW19" s="574"/>
      <c r="BX19" s="678"/>
      <c r="BY19" s="574"/>
      <c r="BZ19" s="678"/>
      <c r="CA19" s="574"/>
      <c r="CB19" s="678"/>
      <c r="CC19" s="574"/>
      <c r="CD19" s="678"/>
      <c r="CE19" s="574"/>
      <c r="CF19" s="678"/>
      <c r="CG19" s="574"/>
      <c r="CH19" s="678"/>
      <c r="CI19" s="574"/>
      <c r="CJ19" s="678"/>
      <c r="CK19" s="574"/>
      <c r="CL19" s="678"/>
      <c r="CM19" s="574"/>
      <c r="CN19" s="678"/>
      <c r="CO19" s="574"/>
      <c r="CP19" s="678"/>
      <c r="CQ19" s="574"/>
      <c r="CR19" s="678"/>
      <c r="CS19" s="574"/>
      <c r="CT19" s="678"/>
      <c r="CU19" s="574"/>
      <c r="CV19" s="678"/>
      <c r="CW19" s="574"/>
      <c r="CX19" s="678"/>
      <c r="CY19" s="574"/>
      <c r="CZ19" s="678"/>
      <c r="DA19" s="574"/>
      <c r="DB19" s="678"/>
      <c r="DC19" s="574"/>
      <c r="DD19" s="678"/>
      <c r="DE19" s="576"/>
      <c r="DF19" s="549"/>
      <c r="DG19" s="539"/>
      <c r="DH19" s="683"/>
      <c r="DI19" s="674"/>
      <c r="DJ19" s="570"/>
      <c r="DK19" s="675"/>
      <c r="DL19" s="676"/>
      <c r="DM19" s="677"/>
      <c r="DN19" s="574"/>
      <c r="DO19" s="678"/>
      <c r="DP19" s="574"/>
      <c r="DQ19" s="678"/>
      <c r="DR19" s="574"/>
      <c r="DS19" s="678"/>
      <c r="DT19" s="574"/>
      <c r="DU19" s="678"/>
      <c r="DV19" s="574"/>
      <c r="DW19" s="678"/>
      <c r="DX19" s="574"/>
      <c r="DY19" s="678"/>
      <c r="DZ19" s="574"/>
      <c r="EA19" s="678"/>
      <c r="EB19" s="574"/>
      <c r="EC19" s="678"/>
      <c r="ED19" s="574"/>
      <c r="EE19" s="678"/>
      <c r="EF19" s="574"/>
      <c r="EG19" s="678"/>
      <c r="EH19" s="574"/>
      <c r="EI19" s="678"/>
      <c r="EJ19" s="574"/>
      <c r="EK19" s="678"/>
      <c r="EL19" s="574"/>
      <c r="EM19" s="678"/>
      <c r="EN19" s="574"/>
      <c r="EO19" s="678"/>
      <c r="EP19" s="574"/>
      <c r="EQ19" s="678"/>
      <c r="ER19" s="574"/>
      <c r="ES19" s="678"/>
      <c r="ET19" s="574"/>
      <c r="EU19" s="678"/>
      <c r="EV19" s="574"/>
      <c r="EW19" s="678"/>
      <c r="EX19" s="574"/>
      <c r="EY19" s="678"/>
      <c r="EZ19" s="574"/>
      <c r="FA19" s="678"/>
      <c r="FB19" s="574"/>
      <c r="FC19" s="678"/>
      <c r="FD19" s="574"/>
      <c r="FE19" s="678"/>
      <c r="FF19" s="574"/>
      <c r="FG19" s="678"/>
      <c r="FH19" s="576"/>
      <c r="FI19" s="550"/>
      <c r="FJ19" s="551"/>
      <c r="FK19" s="683"/>
      <c r="FL19" s="674"/>
      <c r="FM19" s="570"/>
      <c r="FN19" s="675"/>
      <c r="FO19" s="676"/>
      <c r="FP19" s="679"/>
      <c r="FQ19" s="680"/>
      <c r="FR19" s="574"/>
      <c r="FS19" s="681"/>
      <c r="FT19" s="680"/>
      <c r="FU19" s="579"/>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22.05</v>
      </c>
      <c r="GO21" s="687"/>
      <c r="GP21" s="688"/>
      <c r="GQ21" s="620">
        <v>0</v>
      </c>
      <c r="GR21" s="621">
        <v>22.05</v>
      </c>
      <c r="GS21" s="565"/>
      <c r="GT21" s="660"/>
      <c r="GU21" s="684" t="s">
        <v>433</v>
      </c>
      <c r="GV21" s="685"/>
      <c r="GW21" s="686"/>
      <c r="GX21" s="689">
        <v>22.05</v>
      </c>
      <c r="GY21" s="690"/>
      <c r="GZ21" s="687"/>
      <c r="HA21" s="691">
        <v>0</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108</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0.2</v>
      </c>
      <c r="GO24" s="702"/>
      <c r="GP24" s="702"/>
      <c r="GQ24" s="596"/>
      <c r="GR24" s="602"/>
      <c r="GS24" s="596"/>
      <c r="GT24" s="660"/>
      <c r="GU24" s="567" t="s">
        <v>641</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631</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367</v>
      </c>
      <c r="Y26" s="1271"/>
      <c r="Z26" s="1264">
        <f>SUM(Z16:Z25)</f>
        <v>491</v>
      </c>
      <c r="AA26" s="1271"/>
      <c r="AB26" s="1264">
        <f>SUM(AB16:AB25)</f>
        <v>598</v>
      </c>
      <c r="AC26" s="1271"/>
      <c r="AD26" s="1264">
        <f>SUM(AD16:AD25)</f>
        <v>665</v>
      </c>
      <c r="AE26" s="1271"/>
      <c r="AF26" s="1264">
        <f>SUM(AF16:AF25)</f>
        <v>717</v>
      </c>
      <c r="AG26" s="1271"/>
      <c r="AH26" s="1264">
        <f>SUM(AH16:AH25)</f>
        <v>740</v>
      </c>
      <c r="AI26" s="1271"/>
      <c r="AJ26" s="1264">
        <f>SUM(AJ16:AJ25)</f>
        <v>702</v>
      </c>
      <c r="AK26" s="1271"/>
      <c r="AL26" s="1264">
        <f>SUM(AL16:AL25)</f>
        <v>680</v>
      </c>
      <c r="AM26" s="1271"/>
      <c r="AN26" s="1264">
        <f>SUM(AN16:AN25)</f>
        <v>595</v>
      </c>
      <c r="AO26" s="1271"/>
      <c r="AP26" s="1264">
        <f>SUM(AP16:AP25)</f>
        <v>531</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631</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330</v>
      </c>
      <c r="CB26" s="1271"/>
      <c r="CC26" s="1264">
        <f>SUM(CC16:CC25)</f>
        <v>442</v>
      </c>
      <c r="CD26" s="1271"/>
      <c r="CE26" s="1264">
        <f>SUM(CE16:CE25)</f>
        <v>555</v>
      </c>
      <c r="CF26" s="1271"/>
      <c r="CG26" s="1264">
        <f>SUM(CG16:CG25)</f>
        <v>613</v>
      </c>
      <c r="CH26" s="1271"/>
      <c r="CI26" s="1264">
        <f>SUM(CI16:CI25)</f>
        <v>660</v>
      </c>
      <c r="CJ26" s="1271"/>
      <c r="CK26" s="1264">
        <f>SUM(CK16:CK25)</f>
        <v>653</v>
      </c>
      <c r="CL26" s="1271"/>
      <c r="CM26" s="1264">
        <f>SUM(CM16:CM25)</f>
        <v>631</v>
      </c>
      <c r="CN26" s="1271"/>
      <c r="CO26" s="1264">
        <f>SUM(CO16:CO25)</f>
        <v>592</v>
      </c>
      <c r="CP26" s="1271"/>
      <c r="CQ26" s="1264">
        <f>SUM(CQ16:CQ25)</f>
        <v>564</v>
      </c>
      <c r="CR26" s="1271"/>
      <c r="CS26" s="1264">
        <f>SUM(CS16:CS25)</f>
        <v>482</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631</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71</v>
      </c>
      <c r="EE26" s="1271"/>
      <c r="EF26" s="1264">
        <f>SUM(EF16:EF25)</f>
        <v>200</v>
      </c>
      <c r="EG26" s="1271"/>
      <c r="EH26" s="1264">
        <f>SUM(EH16:EH25)</f>
        <v>288</v>
      </c>
      <c r="EI26" s="1271"/>
      <c r="EJ26" s="1264">
        <f>SUM(EJ16:EJ25)</f>
        <v>368</v>
      </c>
      <c r="EK26" s="1271"/>
      <c r="EL26" s="1264">
        <f>SUM(EL16:EL25)</f>
        <v>402</v>
      </c>
      <c r="EM26" s="1271"/>
      <c r="EN26" s="1264">
        <f>SUM(EN16:EN25)</f>
        <v>393</v>
      </c>
      <c r="EO26" s="1271"/>
      <c r="EP26" s="1264">
        <f>SUM(EP16:EP25)</f>
        <v>379</v>
      </c>
      <c r="EQ26" s="1271"/>
      <c r="ER26" s="1264">
        <f>SUM(ER16:ER25)</f>
        <v>357</v>
      </c>
      <c r="ES26" s="1271"/>
      <c r="ET26" s="1264">
        <f>SUM(ET16:ET25)</f>
        <v>269</v>
      </c>
      <c r="EU26" s="1271"/>
      <c r="EV26" s="1264">
        <f>SUM(EV16:EV25)</f>
        <v>172</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538</v>
      </c>
      <c r="FN26" s="629"/>
      <c r="FO26" s="629"/>
      <c r="FP26" s="1267"/>
      <c r="FQ26" s="638"/>
      <c r="FR26" s="1264">
        <f>SUM(FR16:FR25)</f>
        <v>2151</v>
      </c>
      <c r="FS26" s="1272"/>
      <c r="FT26" s="638"/>
      <c r="FU26" s="1269">
        <f>SUM(FU16:FU25)</f>
        <v>2205</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v>
      </c>
      <c r="GZ26" s="567"/>
      <c r="HA26" s="517"/>
      <c r="HB26" s="517"/>
      <c r="HC26" s="517"/>
      <c r="HD26" s="635"/>
      <c r="HE26" s="406"/>
      <c r="HF26" s="406"/>
      <c r="HG26" s="567"/>
      <c r="HH26" s="635"/>
      <c r="HI26" s="406"/>
      <c r="HJ26" s="406"/>
    </row>
    <row r="27" spans="1:218" ht="20.100000000000001" customHeight="1">
      <c r="A27" s="1273" t="s">
        <v>366</v>
      </c>
      <c r="B27" s="721"/>
      <c r="C27" s="722"/>
      <c r="D27" s="650"/>
      <c r="E27" s="722"/>
      <c r="F27" s="722"/>
      <c r="G27" s="723" t="s">
        <v>367</v>
      </c>
      <c r="H27" s="650" t="s">
        <v>368</v>
      </c>
      <c r="I27" s="724" t="s">
        <v>367</v>
      </c>
      <c r="J27" s="650" t="s">
        <v>368</v>
      </c>
      <c r="K27" s="725" t="s">
        <v>367</v>
      </c>
      <c r="L27" s="650" t="s">
        <v>368</v>
      </c>
      <c r="M27" s="725" t="s">
        <v>367</v>
      </c>
      <c r="N27" s="650" t="s">
        <v>368</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7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7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v>55</v>
      </c>
      <c r="E28" s="738">
        <v>16</v>
      </c>
      <c r="F28" s="739" t="s">
        <v>373</v>
      </c>
      <c r="G28" s="740"/>
      <c r="H28" s="546"/>
      <c r="I28" s="741"/>
      <c r="J28" s="546"/>
      <c r="K28" s="741"/>
      <c r="L28" s="546"/>
      <c r="M28" s="741"/>
      <c r="N28" s="546"/>
      <c r="O28" s="741"/>
      <c r="P28" s="546"/>
      <c r="Q28" s="741"/>
      <c r="R28" s="546"/>
      <c r="S28" s="741"/>
      <c r="T28" s="546"/>
      <c r="U28" s="741"/>
      <c r="V28" s="546"/>
      <c r="W28" s="741">
        <v>1</v>
      </c>
      <c r="X28" s="546">
        <v>880</v>
      </c>
      <c r="Y28" s="741">
        <v>1</v>
      </c>
      <c r="Z28" s="546">
        <v>880</v>
      </c>
      <c r="AA28" s="741">
        <v>1</v>
      </c>
      <c r="AB28" s="546">
        <v>880</v>
      </c>
      <c r="AC28" s="741">
        <v>1</v>
      </c>
      <c r="AD28" s="546">
        <v>880</v>
      </c>
      <c r="AE28" s="741">
        <v>1</v>
      </c>
      <c r="AF28" s="546">
        <v>880</v>
      </c>
      <c r="AG28" s="741">
        <v>1</v>
      </c>
      <c r="AH28" s="546">
        <v>880</v>
      </c>
      <c r="AI28" s="741">
        <v>1</v>
      </c>
      <c r="AJ28" s="546">
        <v>880</v>
      </c>
      <c r="AK28" s="741">
        <v>1</v>
      </c>
      <c r="AL28" s="546">
        <v>880</v>
      </c>
      <c r="AM28" s="741">
        <v>1</v>
      </c>
      <c r="AN28" s="546">
        <v>880</v>
      </c>
      <c r="AO28" s="741">
        <v>1</v>
      </c>
      <c r="AP28" s="546">
        <v>880</v>
      </c>
      <c r="AQ28" s="741"/>
      <c r="AR28" s="546"/>
      <c r="AS28" s="741"/>
      <c r="AT28" s="546"/>
      <c r="AU28" s="741"/>
      <c r="AV28" s="546"/>
      <c r="AW28" s="741"/>
      <c r="AX28" s="546"/>
      <c r="AY28" s="741"/>
      <c r="AZ28" s="546"/>
      <c r="BA28" s="741"/>
      <c r="BB28" s="667"/>
      <c r="BC28" s="549"/>
      <c r="BD28" s="539"/>
      <c r="BE28" s="735" t="s">
        <v>372</v>
      </c>
      <c r="BF28" s="736"/>
      <c r="BG28" s="737">
        <v>55</v>
      </c>
      <c r="BH28" s="738">
        <v>16</v>
      </c>
      <c r="BI28" s="739" t="s">
        <v>373</v>
      </c>
      <c r="BJ28" s="740"/>
      <c r="BK28" s="546"/>
      <c r="BL28" s="741"/>
      <c r="BM28" s="546"/>
      <c r="BN28" s="741"/>
      <c r="BO28" s="546"/>
      <c r="BP28" s="741"/>
      <c r="BQ28" s="546"/>
      <c r="BR28" s="741"/>
      <c r="BS28" s="546"/>
      <c r="BT28" s="741"/>
      <c r="BU28" s="546"/>
      <c r="BV28" s="741"/>
      <c r="BW28" s="546"/>
      <c r="BX28" s="741"/>
      <c r="BY28" s="546"/>
      <c r="BZ28" s="741">
        <v>1</v>
      </c>
      <c r="CA28" s="546">
        <v>880</v>
      </c>
      <c r="CB28" s="741">
        <v>1</v>
      </c>
      <c r="CC28" s="546">
        <v>880</v>
      </c>
      <c r="CD28" s="741">
        <v>1</v>
      </c>
      <c r="CE28" s="546">
        <v>880</v>
      </c>
      <c r="CF28" s="741">
        <v>1</v>
      </c>
      <c r="CG28" s="546">
        <v>880</v>
      </c>
      <c r="CH28" s="741">
        <v>1</v>
      </c>
      <c r="CI28" s="546">
        <v>880</v>
      </c>
      <c r="CJ28" s="741">
        <v>1</v>
      </c>
      <c r="CK28" s="546">
        <v>880</v>
      </c>
      <c r="CL28" s="741">
        <v>1</v>
      </c>
      <c r="CM28" s="546">
        <v>880</v>
      </c>
      <c r="CN28" s="741">
        <v>1</v>
      </c>
      <c r="CO28" s="546">
        <v>880</v>
      </c>
      <c r="CP28" s="741">
        <v>1</v>
      </c>
      <c r="CQ28" s="546">
        <v>880</v>
      </c>
      <c r="CR28" s="741">
        <v>1</v>
      </c>
      <c r="CS28" s="546">
        <v>880</v>
      </c>
      <c r="CT28" s="741"/>
      <c r="CU28" s="546"/>
      <c r="CV28" s="741"/>
      <c r="CW28" s="546"/>
      <c r="CX28" s="741"/>
      <c r="CY28" s="546"/>
      <c r="CZ28" s="741"/>
      <c r="DA28" s="546"/>
      <c r="DB28" s="741"/>
      <c r="DC28" s="546"/>
      <c r="DD28" s="741"/>
      <c r="DE28" s="667"/>
      <c r="DF28" s="549"/>
      <c r="DG28" s="539"/>
      <c r="DH28" s="735" t="s">
        <v>372</v>
      </c>
      <c r="DI28" s="736"/>
      <c r="DJ28" s="737">
        <v>55</v>
      </c>
      <c r="DK28" s="738">
        <v>16</v>
      </c>
      <c r="DL28" s="739" t="s">
        <v>373</v>
      </c>
      <c r="DM28" s="740"/>
      <c r="DN28" s="546"/>
      <c r="DO28" s="741"/>
      <c r="DP28" s="546"/>
      <c r="DQ28" s="741"/>
      <c r="DR28" s="546"/>
      <c r="DS28" s="741"/>
      <c r="DT28" s="546"/>
      <c r="DU28" s="741"/>
      <c r="DV28" s="546"/>
      <c r="DW28" s="741"/>
      <c r="DX28" s="546"/>
      <c r="DY28" s="741"/>
      <c r="DZ28" s="546"/>
      <c r="EA28" s="741"/>
      <c r="EB28" s="546"/>
      <c r="EC28" s="741">
        <v>1</v>
      </c>
      <c r="ED28" s="546">
        <v>880</v>
      </c>
      <c r="EE28" s="741">
        <v>1</v>
      </c>
      <c r="EF28" s="546">
        <v>880</v>
      </c>
      <c r="EG28" s="741">
        <v>1</v>
      </c>
      <c r="EH28" s="546">
        <v>880</v>
      </c>
      <c r="EI28" s="741">
        <v>1</v>
      </c>
      <c r="EJ28" s="546">
        <v>880</v>
      </c>
      <c r="EK28" s="741">
        <v>1</v>
      </c>
      <c r="EL28" s="546">
        <v>880</v>
      </c>
      <c r="EM28" s="741">
        <v>1</v>
      </c>
      <c r="EN28" s="546">
        <v>880</v>
      </c>
      <c r="EO28" s="741">
        <v>1</v>
      </c>
      <c r="EP28" s="546">
        <v>880</v>
      </c>
      <c r="EQ28" s="741">
        <v>1</v>
      </c>
      <c r="ER28" s="546">
        <v>880</v>
      </c>
      <c r="ES28" s="741">
        <v>1</v>
      </c>
      <c r="ET28" s="546">
        <v>880</v>
      </c>
      <c r="EU28" s="741">
        <v>1</v>
      </c>
      <c r="EV28" s="546">
        <v>880</v>
      </c>
      <c r="EW28" s="741"/>
      <c r="EX28" s="546"/>
      <c r="EY28" s="741"/>
      <c r="EZ28" s="546"/>
      <c r="FA28" s="741"/>
      <c r="FB28" s="546"/>
      <c r="FC28" s="741"/>
      <c r="FD28" s="546"/>
      <c r="FE28" s="741"/>
      <c r="FF28" s="546"/>
      <c r="FG28" s="741"/>
      <c r="FH28" s="667"/>
      <c r="FI28" s="550"/>
      <c r="FJ28" s="551"/>
      <c r="FK28" s="735" t="s">
        <v>639</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20</v>
      </c>
      <c r="E29" s="750">
        <v>108</v>
      </c>
      <c r="F29" s="751" t="s">
        <v>373</v>
      </c>
      <c r="G29" s="752"/>
      <c r="H29" s="574"/>
      <c r="I29" s="753"/>
      <c r="J29" s="574"/>
      <c r="K29" s="753"/>
      <c r="L29" s="574"/>
      <c r="M29" s="753"/>
      <c r="N29" s="574"/>
      <c r="O29" s="753"/>
      <c r="P29" s="574"/>
      <c r="Q29" s="753"/>
      <c r="R29" s="574"/>
      <c r="S29" s="753"/>
      <c r="T29" s="574"/>
      <c r="U29" s="753"/>
      <c r="V29" s="574"/>
      <c r="W29" s="753">
        <v>1</v>
      </c>
      <c r="X29" s="574">
        <v>2160</v>
      </c>
      <c r="Y29" s="753">
        <v>1</v>
      </c>
      <c r="Z29" s="574">
        <v>2160</v>
      </c>
      <c r="AA29" s="753">
        <v>1</v>
      </c>
      <c r="AB29" s="574">
        <v>2160</v>
      </c>
      <c r="AC29" s="753">
        <v>1</v>
      </c>
      <c r="AD29" s="574">
        <v>2160</v>
      </c>
      <c r="AE29" s="753">
        <v>1</v>
      </c>
      <c r="AF29" s="574">
        <v>2160</v>
      </c>
      <c r="AG29" s="753">
        <v>1</v>
      </c>
      <c r="AH29" s="574">
        <v>2160</v>
      </c>
      <c r="AI29" s="753">
        <v>1</v>
      </c>
      <c r="AJ29" s="574">
        <v>2160</v>
      </c>
      <c r="AK29" s="753">
        <v>1</v>
      </c>
      <c r="AL29" s="574">
        <v>2160</v>
      </c>
      <c r="AM29" s="753">
        <v>1</v>
      </c>
      <c r="AN29" s="574">
        <v>2160</v>
      </c>
      <c r="AO29" s="753">
        <v>1</v>
      </c>
      <c r="AP29" s="574">
        <v>2160</v>
      </c>
      <c r="AQ29" s="753"/>
      <c r="AR29" s="574"/>
      <c r="AS29" s="753"/>
      <c r="AT29" s="574"/>
      <c r="AU29" s="753"/>
      <c r="AV29" s="574"/>
      <c r="AW29" s="753"/>
      <c r="AX29" s="574"/>
      <c r="AY29" s="753"/>
      <c r="AZ29" s="574"/>
      <c r="BA29" s="753"/>
      <c r="BB29" s="576"/>
      <c r="BC29" s="549"/>
      <c r="BD29" s="539"/>
      <c r="BE29" s="747" t="s">
        <v>374</v>
      </c>
      <c r="BF29" s="748"/>
      <c r="BG29" s="749">
        <v>20</v>
      </c>
      <c r="BH29" s="750">
        <v>108</v>
      </c>
      <c r="BI29" s="751" t="s">
        <v>373</v>
      </c>
      <c r="BJ29" s="752"/>
      <c r="BK29" s="574"/>
      <c r="BL29" s="753"/>
      <c r="BM29" s="574"/>
      <c r="BN29" s="753"/>
      <c r="BO29" s="574"/>
      <c r="BP29" s="753"/>
      <c r="BQ29" s="574"/>
      <c r="BR29" s="753"/>
      <c r="BS29" s="574"/>
      <c r="BT29" s="753"/>
      <c r="BU29" s="574"/>
      <c r="BV29" s="753"/>
      <c r="BW29" s="574"/>
      <c r="BX29" s="753"/>
      <c r="BY29" s="574"/>
      <c r="BZ29" s="753">
        <v>1</v>
      </c>
      <c r="CA29" s="574">
        <v>2160</v>
      </c>
      <c r="CB29" s="753">
        <v>1</v>
      </c>
      <c r="CC29" s="574">
        <v>2160</v>
      </c>
      <c r="CD29" s="753">
        <v>1</v>
      </c>
      <c r="CE29" s="574">
        <v>2160</v>
      </c>
      <c r="CF29" s="753">
        <v>1</v>
      </c>
      <c r="CG29" s="574">
        <v>2160</v>
      </c>
      <c r="CH29" s="753">
        <v>1</v>
      </c>
      <c r="CI29" s="574">
        <v>2160</v>
      </c>
      <c r="CJ29" s="753">
        <v>1</v>
      </c>
      <c r="CK29" s="574">
        <v>2160</v>
      </c>
      <c r="CL29" s="753">
        <v>1</v>
      </c>
      <c r="CM29" s="574">
        <v>2160</v>
      </c>
      <c r="CN29" s="753">
        <v>1</v>
      </c>
      <c r="CO29" s="574">
        <v>2160</v>
      </c>
      <c r="CP29" s="753">
        <v>1</v>
      </c>
      <c r="CQ29" s="574">
        <v>2160</v>
      </c>
      <c r="CR29" s="753">
        <v>1</v>
      </c>
      <c r="CS29" s="574">
        <v>2160</v>
      </c>
      <c r="CT29" s="753"/>
      <c r="CU29" s="574"/>
      <c r="CV29" s="753"/>
      <c r="CW29" s="574"/>
      <c r="CX29" s="753"/>
      <c r="CY29" s="574"/>
      <c r="CZ29" s="753"/>
      <c r="DA29" s="574"/>
      <c r="DB29" s="753"/>
      <c r="DC29" s="574"/>
      <c r="DD29" s="753"/>
      <c r="DE29" s="576"/>
      <c r="DF29" s="549"/>
      <c r="DG29" s="539"/>
      <c r="DH29" s="747" t="s">
        <v>374</v>
      </c>
      <c r="DI29" s="748"/>
      <c r="DJ29" s="749">
        <v>20</v>
      </c>
      <c r="DK29" s="750">
        <v>108</v>
      </c>
      <c r="DL29" s="751" t="s">
        <v>373</v>
      </c>
      <c r="DM29" s="752"/>
      <c r="DN29" s="574"/>
      <c r="DO29" s="753"/>
      <c r="DP29" s="574"/>
      <c r="DQ29" s="753"/>
      <c r="DR29" s="574"/>
      <c r="DS29" s="753"/>
      <c r="DT29" s="574"/>
      <c r="DU29" s="753"/>
      <c r="DV29" s="574"/>
      <c r="DW29" s="753"/>
      <c r="DX29" s="574"/>
      <c r="DY29" s="753"/>
      <c r="DZ29" s="574"/>
      <c r="EA29" s="753"/>
      <c r="EB29" s="574"/>
      <c r="EC29" s="753">
        <v>1</v>
      </c>
      <c r="ED29" s="574">
        <v>2160</v>
      </c>
      <c r="EE29" s="753">
        <v>1</v>
      </c>
      <c r="EF29" s="574">
        <v>2160</v>
      </c>
      <c r="EG29" s="753">
        <v>1</v>
      </c>
      <c r="EH29" s="574">
        <v>2160</v>
      </c>
      <c r="EI29" s="753">
        <v>1</v>
      </c>
      <c r="EJ29" s="574">
        <v>2160</v>
      </c>
      <c r="EK29" s="753">
        <v>1</v>
      </c>
      <c r="EL29" s="574">
        <v>2160</v>
      </c>
      <c r="EM29" s="753">
        <v>1</v>
      </c>
      <c r="EN29" s="574">
        <v>2160</v>
      </c>
      <c r="EO29" s="753">
        <v>1</v>
      </c>
      <c r="EP29" s="574">
        <v>2160</v>
      </c>
      <c r="EQ29" s="753">
        <v>1</v>
      </c>
      <c r="ER29" s="574">
        <v>2160</v>
      </c>
      <c r="ES29" s="753">
        <v>1</v>
      </c>
      <c r="ET29" s="574">
        <v>2160</v>
      </c>
      <c r="EU29" s="753">
        <v>1</v>
      </c>
      <c r="EV29" s="574">
        <v>2160</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v>25</v>
      </c>
      <c r="D30" s="750">
        <v>108</v>
      </c>
      <c r="E30" s="759">
        <v>0.6</v>
      </c>
      <c r="F30" s="760" t="s">
        <v>373</v>
      </c>
      <c r="G30" s="752"/>
      <c r="H30" s="574"/>
      <c r="I30" s="753"/>
      <c r="J30" s="574"/>
      <c r="K30" s="753"/>
      <c r="L30" s="574"/>
      <c r="M30" s="753"/>
      <c r="N30" s="574"/>
      <c r="O30" s="753"/>
      <c r="P30" s="574"/>
      <c r="Q30" s="753"/>
      <c r="R30" s="574"/>
      <c r="S30" s="753"/>
      <c r="T30" s="574"/>
      <c r="U30" s="753"/>
      <c r="V30" s="574"/>
      <c r="W30" s="753">
        <v>1</v>
      </c>
      <c r="X30" s="574">
        <v>1620</v>
      </c>
      <c r="Y30" s="753">
        <v>1</v>
      </c>
      <c r="Z30" s="574">
        <v>1620</v>
      </c>
      <c r="AA30" s="753">
        <v>1</v>
      </c>
      <c r="AB30" s="574">
        <v>1620</v>
      </c>
      <c r="AC30" s="753">
        <v>1</v>
      </c>
      <c r="AD30" s="574">
        <v>1620</v>
      </c>
      <c r="AE30" s="753">
        <v>1</v>
      </c>
      <c r="AF30" s="574">
        <v>1620</v>
      </c>
      <c r="AG30" s="753">
        <v>1</v>
      </c>
      <c r="AH30" s="574">
        <v>1620</v>
      </c>
      <c r="AI30" s="753">
        <v>1</v>
      </c>
      <c r="AJ30" s="574">
        <v>1620</v>
      </c>
      <c r="AK30" s="753">
        <v>1</v>
      </c>
      <c r="AL30" s="574">
        <v>1620</v>
      </c>
      <c r="AM30" s="753">
        <v>1</v>
      </c>
      <c r="AN30" s="574">
        <v>1620</v>
      </c>
      <c r="AO30" s="753">
        <v>1</v>
      </c>
      <c r="AP30" s="574">
        <v>1620</v>
      </c>
      <c r="AQ30" s="753"/>
      <c r="AR30" s="574"/>
      <c r="AS30" s="753"/>
      <c r="AT30" s="574"/>
      <c r="AU30" s="753"/>
      <c r="AV30" s="574"/>
      <c r="AW30" s="753"/>
      <c r="AX30" s="574"/>
      <c r="AY30" s="753"/>
      <c r="AZ30" s="574"/>
      <c r="BA30" s="753"/>
      <c r="BB30" s="576"/>
      <c r="BC30" s="549"/>
      <c r="BD30" s="539"/>
      <c r="BE30" s="747" t="s">
        <v>375</v>
      </c>
      <c r="BF30" s="749">
        <v>25</v>
      </c>
      <c r="BG30" s="750">
        <v>108</v>
      </c>
      <c r="BH30" s="759">
        <v>0.6</v>
      </c>
      <c r="BI30" s="760" t="s">
        <v>373</v>
      </c>
      <c r="BJ30" s="752"/>
      <c r="BK30" s="574"/>
      <c r="BL30" s="753"/>
      <c r="BM30" s="574"/>
      <c r="BN30" s="753"/>
      <c r="BO30" s="574"/>
      <c r="BP30" s="753"/>
      <c r="BQ30" s="574"/>
      <c r="BR30" s="753"/>
      <c r="BS30" s="574"/>
      <c r="BT30" s="753"/>
      <c r="BU30" s="574"/>
      <c r="BV30" s="753"/>
      <c r="BW30" s="574"/>
      <c r="BX30" s="753"/>
      <c r="BY30" s="574"/>
      <c r="BZ30" s="753">
        <v>1</v>
      </c>
      <c r="CA30" s="574">
        <v>1620</v>
      </c>
      <c r="CB30" s="753">
        <v>1</v>
      </c>
      <c r="CC30" s="574">
        <v>1620</v>
      </c>
      <c r="CD30" s="753">
        <v>1</v>
      </c>
      <c r="CE30" s="574">
        <v>1620</v>
      </c>
      <c r="CF30" s="753">
        <v>1</v>
      </c>
      <c r="CG30" s="574">
        <v>1620</v>
      </c>
      <c r="CH30" s="753">
        <v>1</v>
      </c>
      <c r="CI30" s="574">
        <v>1620</v>
      </c>
      <c r="CJ30" s="753">
        <v>1</v>
      </c>
      <c r="CK30" s="574">
        <v>1620</v>
      </c>
      <c r="CL30" s="753">
        <v>1</v>
      </c>
      <c r="CM30" s="574">
        <v>1620</v>
      </c>
      <c r="CN30" s="753">
        <v>1</v>
      </c>
      <c r="CO30" s="574">
        <v>1620</v>
      </c>
      <c r="CP30" s="753">
        <v>1</v>
      </c>
      <c r="CQ30" s="574">
        <v>1620</v>
      </c>
      <c r="CR30" s="753">
        <v>1</v>
      </c>
      <c r="CS30" s="574">
        <v>1620</v>
      </c>
      <c r="CT30" s="753"/>
      <c r="CU30" s="574"/>
      <c r="CV30" s="753"/>
      <c r="CW30" s="574"/>
      <c r="CX30" s="753"/>
      <c r="CY30" s="574"/>
      <c r="CZ30" s="753"/>
      <c r="DA30" s="574"/>
      <c r="DB30" s="753"/>
      <c r="DC30" s="574"/>
      <c r="DD30" s="753"/>
      <c r="DE30" s="576"/>
      <c r="DF30" s="549"/>
      <c r="DG30" s="539"/>
      <c r="DH30" s="747" t="s">
        <v>375</v>
      </c>
      <c r="DI30" s="749">
        <v>25</v>
      </c>
      <c r="DJ30" s="750">
        <v>108</v>
      </c>
      <c r="DK30" s="759">
        <v>0.6</v>
      </c>
      <c r="DL30" s="760" t="s">
        <v>373</v>
      </c>
      <c r="DM30" s="752"/>
      <c r="DN30" s="574"/>
      <c r="DO30" s="753"/>
      <c r="DP30" s="574"/>
      <c r="DQ30" s="753"/>
      <c r="DR30" s="574"/>
      <c r="DS30" s="753"/>
      <c r="DT30" s="574"/>
      <c r="DU30" s="753"/>
      <c r="DV30" s="574"/>
      <c r="DW30" s="753"/>
      <c r="DX30" s="574"/>
      <c r="DY30" s="753"/>
      <c r="DZ30" s="574"/>
      <c r="EA30" s="753"/>
      <c r="EB30" s="574"/>
      <c r="EC30" s="753">
        <v>1</v>
      </c>
      <c r="ED30" s="574">
        <v>1620</v>
      </c>
      <c r="EE30" s="753">
        <v>1</v>
      </c>
      <c r="EF30" s="574">
        <v>1620</v>
      </c>
      <c r="EG30" s="753">
        <v>1</v>
      </c>
      <c r="EH30" s="574">
        <v>1620</v>
      </c>
      <c r="EI30" s="753">
        <v>1</v>
      </c>
      <c r="EJ30" s="574">
        <v>1620</v>
      </c>
      <c r="EK30" s="753">
        <v>1</v>
      </c>
      <c r="EL30" s="574">
        <v>1620</v>
      </c>
      <c r="EM30" s="753">
        <v>1</v>
      </c>
      <c r="EN30" s="574">
        <v>1620</v>
      </c>
      <c r="EO30" s="753">
        <v>1</v>
      </c>
      <c r="EP30" s="574">
        <v>1620</v>
      </c>
      <c r="EQ30" s="753">
        <v>1</v>
      </c>
      <c r="ER30" s="574">
        <v>1620</v>
      </c>
      <c r="ES30" s="753">
        <v>1</v>
      </c>
      <c r="ET30" s="574">
        <v>1620</v>
      </c>
      <c r="EU30" s="753">
        <v>1</v>
      </c>
      <c r="EV30" s="574">
        <v>1620</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65"/>
      <c r="J33" s="1264">
        <v>0</v>
      </c>
      <c r="K33" s="1265"/>
      <c r="L33" s="1264">
        <v>0</v>
      </c>
      <c r="M33" s="1265"/>
      <c r="N33" s="1264">
        <v>0</v>
      </c>
      <c r="O33" s="1265"/>
      <c r="P33" s="1264">
        <v>0</v>
      </c>
      <c r="Q33" s="1265"/>
      <c r="R33" s="1264">
        <v>0</v>
      </c>
      <c r="S33" s="1265"/>
      <c r="T33" s="1264">
        <v>0</v>
      </c>
      <c r="U33" s="1265"/>
      <c r="V33" s="1264">
        <v>0</v>
      </c>
      <c r="W33" s="1265"/>
      <c r="X33" s="1264">
        <v>4660</v>
      </c>
      <c r="Y33" s="1265"/>
      <c r="Z33" s="1264">
        <v>4660</v>
      </c>
      <c r="AA33" s="1265"/>
      <c r="AB33" s="1264">
        <v>4660</v>
      </c>
      <c r="AC33" s="1265"/>
      <c r="AD33" s="1264">
        <v>4660</v>
      </c>
      <c r="AE33" s="1265"/>
      <c r="AF33" s="1264">
        <v>4660</v>
      </c>
      <c r="AG33" s="1265"/>
      <c r="AH33" s="1264">
        <v>4660</v>
      </c>
      <c r="AI33" s="1265"/>
      <c r="AJ33" s="1264">
        <v>4660</v>
      </c>
      <c r="AK33" s="1265"/>
      <c r="AL33" s="1264">
        <v>4660</v>
      </c>
      <c r="AM33" s="1265"/>
      <c r="AN33" s="1264">
        <v>4660</v>
      </c>
      <c r="AO33" s="1265"/>
      <c r="AP33" s="1264">
        <v>4660</v>
      </c>
      <c r="AQ33" s="1265"/>
      <c r="AR33" s="1264">
        <v>0</v>
      </c>
      <c r="AS33" s="1265"/>
      <c r="AT33" s="1264">
        <v>0</v>
      </c>
      <c r="AU33" s="1265"/>
      <c r="AV33" s="1264">
        <v>0</v>
      </c>
      <c r="AW33" s="1265"/>
      <c r="AX33" s="1264">
        <v>0</v>
      </c>
      <c r="AY33" s="1265"/>
      <c r="AZ33" s="1264">
        <v>0</v>
      </c>
      <c r="BA33" s="1265"/>
      <c r="BB33" s="1266">
        <v>0</v>
      </c>
      <c r="BC33" s="635"/>
      <c r="BD33" s="628"/>
      <c r="BE33" s="629"/>
      <c r="BF33" s="629"/>
      <c r="BG33" s="630" t="s">
        <v>378</v>
      </c>
      <c r="BH33" s="629"/>
      <c r="BI33" s="629"/>
      <c r="BJ33" s="1263"/>
      <c r="BK33" s="1264">
        <v>0</v>
      </c>
      <c r="BL33" s="1265"/>
      <c r="BM33" s="1264">
        <v>0</v>
      </c>
      <c r="BN33" s="1265"/>
      <c r="BO33" s="1264">
        <v>0</v>
      </c>
      <c r="BP33" s="1265"/>
      <c r="BQ33" s="1264">
        <v>0</v>
      </c>
      <c r="BR33" s="1265"/>
      <c r="BS33" s="1264">
        <v>0</v>
      </c>
      <c r="BT33" s="1265"/>
      <c r="BU33" s="1264">
        <v>0</v>
      </c>
      <c r="BV33" s="1265"/>
      <c r="BW33" s="1264">
        <v>0</v>
      </c>
      <c r="BX33" s="1265"/>
      <c r="BY33" s="1264">
        <v>0</v>
      </c>
      <c r="BZ33" s="1265"/>
      <c r="CA33" s="1264">
        <v>4660</v>
      </c>
      <c r="CB33" s="1265"/>
      <c r="CC33" s="1264">
        <v>4660</v>
      </c>
      <c r="CD33" s="1265"/>
      <c r="CE33" s="1264">
        <v>4660</v>
      </c>
      <c r="CF33" s="1265"/>
      <c r="CG33" s="1264">
        <v>4660</v>
      </c>
      <c r="CH33" s="1265"/>
      <c r="CI33" s="1264">
        <v>4660</v>
      </c>
      <c r="CJ33" s="1265"/>
      <c r="CK33" s="1264">
        <v>4660</v>
      </c>
      <c r="CL33" s="1265"/>
      <c r="CM33" s="1264">
        <v>4660</v>
      </c>
      <c r="CN33" s="1265"/>
      <c r="CO33" s="1264">
        <v>4660</v>
      </c>
      <c r="CP33" s="1265"/>
      <c r="CQ33" s="1264">
        <v>4660</v>
      </c>
      <c r="CR33" s="1265"/>
      <c r="CS33" s="1264">
        <v>4660</v>
      </c>
      <c r="CT33" s="1265"/>
      <c r="CU33" s="1264">
        <v>0</v>
      </c>
      <c r="CV33" s="1265"/>
      <c r="CW33" s="1264">
        <v>0</v>
      </c>
      <c r="CX33" s="1265"/>
      <c r="CY33" s="1264">
        <v>0</v>
      </c>
      <c r="CZ33" s="1265"/>
      <c r="DA33" s="1264">
        <v>0</v>
      </c>
      <c r="DB33" s="1265"/>
      <c r="DC33" s="1264">
        <v>0</v>
      </c>
      <c r="DD33" s="1265"/>
      <c r="DE33" s="1266">
        <v>0</v>
      </c>
      <c r="DF33" s="635"/>
      <c r="DG33" s="628"/>
      <c r="DH33" s="629"/>
      <c r="DI33" s="629"/>
      <c r="DJ33" s="630" t="s">
        <v>378</v>
      </c>
      <c r="DK33" s="629"/>
      <c r="DL33" s="629"/>
      <c r="DM33" s="1263"/>
      <c r="DN33" s="1264">
        <v>0</v>
      </c>
      <c r="DO33" s="1265"/>
      <c r="DP33" s="1264">
        <v>0</v>
      </c>
      <c r="DQ33" s="1265"/>
      <c r="DR33" s="1264">
        <v>0</v>
      </c>
      <c r="DS33" s="1265"/>
      <c r="DT33" s="1264">
        <v>0</v>
      </c>
      <c r="DU33" s="1265"/>
      <c r="DV33" s="1264">
        <v>0</v>
      </c>
      <c r="DW33" s="1265"/>
      <c r="DX33" s="1264">
        <v>0</v>
      </c>
      <c r="DY33" s="1265"/>
      <c r="DZ33" s="1264">
        <v>0</v>
      </c>
      <c r="EA33" s="1265"/>
      <c r="EB33" s="1264">
        <v>0</v>
      </c>
      <c r="EC33" s="1265"/>
      <c r="ED33" s="1264">
        <v>4660</v>
      </c>
      <c r="EE33" s="1265"/>
      <c r="EF33" s="1264">
        <v>4660</v>
      </c>
      <c r="EG33" s="1265"/>
      <c r="EH33" s="1264">
        <v>4660</v>
      </c>
      <c r="EI33" s="1265"/>
      <c r="EJ33" s="1264">
        <v>4660</v>
      </c>
      <c r="EK33" s="1265"/>
      <c r="EL33" s="1264">
        <v>4660</v>
      </c>
      <c r="EM33" s="1265"/>
      <c r="EN33" s="1264">
        <v>4660</v>
      </c>
      <c r="EO33" s="1265"/>
      <c r="EP33" s="1264">
        <v>4660</v>
      </c>
      <c r="EQ33" s="1265"/>
      <c r="ER33" s="1264">
        <v>4660</v>
      </c>
      <c r="ES33" s="1265"/>
      <c r="ET33" s="1264">
        <v>4660</v>
      </c>
      <c r="EU33" s="1265"/>
      <c r="EV33" s="1264">
        <v>4660</v>
      </c>
      <c r="EW33" s="1265"/>
      <c r="EX33" s="1264">
        <v>0</v>
      </c>
      <c r="EY33" s="1265"/>
      <c r="EZ33" s="1264">
        <v>0</v>
      </c>
      <c r="FA33" s="1265"/>
      <c r="FB33" s="1264">
        <v>0</v>
      </c>
      <c r="FC33" s="1265"/>
      <c r="FD33" s="1264">
        <v>0</v>
      </c>
      <c r="FE33" s="1265"/>
      <c r="FF33" s="1264">
        <v>0</v>
      </c>
      <c r="FG33" s="1265"/>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207</v>
      </c>
      <c r="GV33" s="795"/>
      <c r="GW33" s="796">
        <v>46.31</v>
      </c>
      <c r="GX33" s="797">
        <v>28.76</v>
      </c>
      <c r="GY33" s="797">
        <v>51.44</v>
      </c>
      <c r="GZ33" s="797">
        <v>0</v>
      </c>
      <c r="HA33" s="797">
        <v>126.51</v>
      </c>
      <c r="HB33" s="798">
        <v>108</v>
      </c>
      <c r="HC33" s="404"/>
      <c r="HD33" s="635"/>
      <c r="HE33" s="406"/>
      <c r="HF33" s="406"/>
    </row>
    <row r="34" spans="1:219" ht="20.100000000000001" customHeight="1">
      <c r="A34" s="127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7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7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459</v>
      </c>
      <c r="GL34" s="807"/>
      <c r="GM34" s="807"/>
      <c r="GN34" s="807"/>
      <c r="GO34" s="807"/>
      <c r="GP34" s="807"/>
      <c r="GQ34" s="602">
        <v>8.5</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76">
        <v>0</v>
      </c>
      <c r="I36" s="1277"/>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79">
        <v>0</v>
      </c>
      <c r="BC36" s="635"/>
      <c r="BD36" s="811"/>
      <c r="BE36" s="629"/>
      <c r="BF36" s="629"/>
      <c r="BG36" s="630" t="s">
        <v>382</v>
      </c>
      <c r="BH36" s="629"/>
      <c r="BI36" s="629"/>
      <c r="BJ36" s="1275"/>
      <c r="BK36" s="1276">
        <v>0</v>
      </c>
      <c r="BL36" s="1277"/>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79">
        <v>0</v>
      </c>
      <c r="DF36" s="635"/>
      <c r="DG36" s="811"/>
      <c r="DH36" s="629"/>
      <c r="DI36" s="629"/>
      <c r="DJ36" s="630" t="s">
        <v>382</v>
      </c>
      <c r="DK36" s="629"/>
      <c r="DL36" s="629"/>
      <c r="DM36" s="1275"/>
      <c r="DN36" s="1276">
        <v>0</v>
      </c>
      <c r="DO36" s="1277"/>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79">
        <v>0</v>
      </c>
      <c r="FI36" s="636"/>
      <c r="FJ36" s="820"/>
      <c r="FK36" s="629"/>
      <c r="FL36" s="629"/>
      <c r="FM36" s="630" t="s">
        <v>382</v>
      </c>
      <c r="FN36" s="629"/>
      <c r="FO36" s="629"/>
      <c r="FP36" s="1267"/>
      <c r="FQ36" s="1277"/>
      <c r="FR36" s="1276">
        <v>0</v>
      </c>
      <c r="FS36" s="1280"/>
      <c r="FT36" s="1277"/>
      <c r="FU36" s="128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126.51</v>
      </c>
      <c r="HB38" s="854">
        <v>108</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1.17</v>
      </c>
      <c r="HB39" s="566"/>
      <c r="HC39" s="517"/>
      <c r="HD39" s="549"/>
    </row>
    <row r="40" spans="1:219" ht="20.100000000000001" customHeight="1">
      <c r="A40" s="868"/>
      <c r="B40" s="629"/>
      <c r="C40" s="629"/>
      <c r="D40" s="630" t="s">
        <v>393</v>
      </c>
      <c r="E40" s="629"/>
      <c r="F40" s="629"/>
      <c r="G40" s="1275"/>
      <c r="H40" s="1276">
        <v>0</v>
      </c>
      <c r="I40" s="1277"/>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79">
        <v>0</v>
      </c>
      <c r="BC40" s="635"/>
      <c r="BD40" s="868"/>
      <c r="BE40" s="629"/>
      <c r="BF40" s="629"/>
      <c r="BG40" s="630" t="s">
        <v>393</v>
      </c>
      <c r="BH40" s="629"/>
      <c r="BI40" s="629"/>
      <c r="BJ40" s="1275"/>
      <c r="BK40" s="1276">
        <v>0</v>
      </c>
      <c r="BL40" s="1277"/>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79">
        <v>0</v>
      </c>
      <c r="DF40" s="635"/>
      <c r="DG40" s="868"/>
      <c r="DH40" s="629"/>
      <c r="DI40" s="629"/>
      <c r="DJ40" s="630" t="s">
        <v>393</v>
      </c>
      <c r="DK40" s="629"/>
      <c r="DL40" s="629"/>
      <c r="DM40" s="1275"/>
      <c r="DN40" s="1276">
        <v>0</v>
      </c>
      <c r="DO40" s="1277"/>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79">
        <v>0</v>
      </c>
      <c r="FI40" s="636"/>
      <c r="FJ40" s="820"/>
      <c r="FK40" s="629"/>
      <c r="FL40" s="629"/>
      <c r="FM40" s="630" t="s">
        <v>393</v>
      </c>
      <c r="FN40" s="629"/>
      <c r="FO40" s="629"/>
      <c r="FP40" s="1267"/>
      <c r="FQ40" s="1277"/>
      <c r="FR40" s="1276">
        <v>0</v>
      </c>
      <c r="FS40" s="1280"/>
      <c r="FT40" s="1277"/>
      <c r="FU40" s="128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519</v>
      </c>
      <c r="GV40" s="517"/>
      <c r="GW40" s="517"/>
      <c r="GX40" s="517"/>
      <c r="GY40" s="517"/>
      <c r="GZ40" s="517"/>
      <c r="HA40" s="873">
        <v>27.4</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552</v>
      </c>
      <c r="GV41" s="517"/>
      <c r="GW41" s="517"/>
      <c r="GX41" s="517"/>
      <c r="GY41" s="517"/>
      <c r="GZ41" s="517"/>
      <c r="HA41" s="873">
        <v>24</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918</v>
      </c>
      <c r="Y42" s="818"/>
      <c r="Z42" s="782">
        <v>551</v>
      </c>
      <c r="AA42" s="818"/>
      <c r="AB42" s="782">
        <v>508</v>
      </c>
      <c r="AC42" s="818"/>
      <c r="AD42" s="782">
        <v>464</v>
      </c>
      <c r="AE42" s="818"/>
      <c r="AF42" s="782">
        <v>432</v>
      </c>
      <c r="AG42" s="818"/>
      <c r="AH42" s="782">
        <v>389</v>
      </c>
      <c r="AI42" s="818"/>
      <c r="AJ42" s="782">
        <v>367</v>
      </c>
      <c r="AK42" s="818"/>
      <c r="AL42" s="782">
        <v>335</v>
      </c>
      <c r="AM42" s="818"/>
      <c r="AN42" s="782">
        <v>302</v>
      </c>
      <c r="AO42" s="818"/>
      <c r="AP42" s="782">
        <v>281</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918</v>
      </c>
      <c r="CB42" s="818"/>
      <c r="CC42" s="782">
        <v>551</v>
      </c>
      <c r="CD42" s="818"/>
      <c r="CE42" s="782">
        <v>508</v>
      </c>
      <c r="CF42" s="818"/>
      <c r="CG42" s="782">
        <v>464</v>
      </c>
      <c r="CH42" s="818"/>
      <c r="CI42" s="782">
        <v>432</v>
      </c>
      <c r="CJ42" s="818"/>
      <c r="CK42" s="782">
        <v>389</v>
      </c>
      <c r="CL42" s="818"/>
      <c r="CM42" s="782">
        <v>367</v>
      </c>
      <c r="CN42" s="818"/>
      <c r="CO42" s="782">
        <v>335</v>
      </c>
      <c r="CP42" s="818"/>
      <c r="CQ42" s="782">
        <v>302</v>
      </c>
      <c r="CR42" s="818"/>
      <c r="CS42" s="782">
        <v>281</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918</v>
      </c>
      <c r="EE42" s="818"/>
      <c r="EF42" s="782">
        <v>551</v>
      </c>
      <c r="EG42" s="818"/>
      <c r="EH42" s="782">
        <v>508</v>
      </c>
      <c r="EI42" s="818"/>
      <c r="EJ42" s="782">
        <v>464</v>
      </c>
      <c r="EK42" s="818"/>
      <c r="EL42" s="782">
        <v>432</v>
      </c>
      <c r="EM42" s="818"/>
      <c r="EN42" s="782">
        <v>389</v>
      </c>
      <c r="EO42" s="818"/>
      <c r="EP42" s="782">
        <v>367</v>
      </c>
      <c r="EQ42" s="818"/>
      <c r="ER42" s="782">
        <v>335</v>
      </c>
      <c r="ES42" s="818"/>
      <c r="ET42" s="782">
        <v>302</v>
      </c>
      <c r="EU42" s="818"/>
      <c r="EV42" s="782">
        <v>281</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356</v>
      </c>
      <c r="FS42" s="822"/>
      <c r="FT42" s="817"/>
      <c r="FU42" s="788">
        <v>356</v>
      </c>
      <c r="FV42" s="580"/>
      <c r="FW42" s="581"/>
      <c r="FX42" s="789"/>
      <c r="FY42" s="583"/>
      <c r="FZ42" s="790"/>
      <c r="GA42" s="585"/>
      <c r="GB42" s="791"/>
      <c r="GC42" s="587"/>
      <c r="GD42" s="791"/>
      <c r="GE42" s="588"/>
      <c r="GF42" s="823"/>
      <c r="GG42" s="589"/>
      <c r="GH42" s="589"/>
      <c r="GI42" s="589"/>
      <c r="GJ42" s="400"/>
      <c r="GK42" s="887"/>
      <c r="GL42" s="888"/>
      <c r="GM42" s="889">
        <v>8.5</v>
      </c>
      <c r="GN42" s="889"/>
      <c r="GO42" s="889">
        <v>0</v>
      </c>
      <c r="GP42" s="889"/>
      <c r="GQ42" s="889">
        <v>8.5</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76">
        <v>0</v>
      </c>
      <c r="I44" s="1277"/>
      <c r="J44" s="827">
        <v>0</v>
      </c>
      <c r="K44" s="1278"/>
      <c r="L44" s="827">
        <v>0</v>
      </c>
      <c r="M44" s="1278"/>
      <c r="N44" s="827">
        <v>0</v>
      </c>
      <c r="O44" s="1278"/>
      <c r="P44" s="827">
        <v>0</v>
      </c>
      <c r="Q44" s="1278"/>
      <c r="R44" s="827">
        <v>0</v>
      </c>
      <c r="S44" s="1278"/>
      <c r="T44" s="827">
        <v>0</v>
      </c>
      <c r="U44" s="1278"/>
      <c r="V44" s="827">
        <v>0</v>
      </c>
      <c r="W44" s="1278"/>
      <c r="X44" s="827">
        <v>918</v>
      </c>
      <c r="Y44" s="1278"/>
      <c r="Z44" s="827">
        <v>551</v>
      </c>
      <c r="AA44" s="1278"/>
      <c r="AB44" s="827">
        <v>508</v>
      </c>
      <c r="AC44" s="1278"/>
      <c r="AD44" s="827">
        <v>464</v>
      </c>
      <c r="AE44" s="1278"/>
      <c r="AF44" s="827">
        <v>432</v>
      </c>
      <c r="AG44" s="1278"/>
      <c r="AH44" s="827">
        <v>389</v>
      </c>
      <c r="AI44" s="1278"/>
      <c r="AJ44" s="827">
        <v>367</v>
      </c>
      <c r="AK44" s="1278"/>
      <c r="AL44" s="827">
        <v>335</v>
      </c>
      <c r="AM44" s="1278"/>
      <c r="AN44" s="827">
        <v>302</v>
      </c>
      <c r="AO44" s="1278"/>
      <c r="AP44" s="827">
        <v>281</v>
      </c>
      <c r="AQ44" s="1278"/>
      <c r="AR44" s="827">
        <v>0</v>
      </c>
      <c r="AS44" s="1278"/>
      <c r="AT44" s="827">
        <v>0</v>
      </c>
      <c r="AU44" s="1278"/>
      <c r="AV44" s="827">
        <v>0</v>
      </c>
      <c r="AW44" s="1278"/>
      <c r="AX44" s="827">
        <v>0</v>
      </c>
      <c r="AY44" s="1278"/>
      <c r="AZ44" s="827">
        <v>0</v>
      </c>
      <c r="BA44" s="1278"/>
      <c r="BB44" s="1279">
        <v>0</v>
      </c>
      <c r="BC44" s="635"/>
      <c r="BD44" s="912"/>
      <c r="BE44" s="629"/>
      <c r="BF44" s="629"/>
      <c r="BG44" s="630" t="s">
        <v>397</v>
      </c>
      <c r="BH44" s="629"/>
      <c r="BI44" s="629"/>
      <c r="BJ44" s="1275"/>
      <c r="BK44" s="1276">
        <v>0</v>
      </c>
      <c r="BL44" s="1277"/>
      <c r="BM44" s="827">
        <v>0</v>
      </c>
      <c r="BN44" s="1278"/>
      <c r="BO44" s="827">
        <v>0</v>
      </c>
      <c r="BP44" s="1278"/>
      <c r="BQ44" s="827">
        <v>0</v>
      </c>
      <c r="BR44" s="1278"/>
      <c r="BS44" s="827">
        <v>0</v>
      </c>
      <c r="BT44" s="1278"/>
      <c r="BU44" s="827">
        <v>0</v>
      </c>
      <c r="BV44" s="1278"/>
      <c r="BW44" s="827">
        <v>0</v>
      </c>
      <c r="BX44" s="1278"/>
      <c r="BY44" s="827">
        <v>0</v>
      </c>
      <c r="BZ44" s="1278"/>
      <c r="CA44" s="827">
        <v>918</v>
      </c>
      <c r="CB44" s="1278"/>
      <c r="CC44" s="827">
        <v>551</v>
      </c>
      <c r="CD44" s="1278"/>
      <c r="CE44" s="827">
        <v>508</v>
      </c>
      <c r="CF44" s="1278"/>
      <c r="CG44" s="827">
        <v>464</v>
      </c>
      <c r="CH44" s="1278"/>
      <c r="CI44" s="827">
        <v>432</v>
      </c>
      <c r="CJ44" s="1278"/>
      <c r="CK44" s="827">
        <v>389</v>
      </c>
      <c r="CL44" s="1278"/>
      <c r="CM44" s="827">
        <v>367</v>
      </c>
      <c r="CN44" s="1278"/>
      <c r="CO44" s="827">
        <v>335</v>
      </c>
      <c r="CP44" s="1278"/>
      <c r="CQ44" s="827">
        <v>302</v>
      </c>
      <c r="CR44" s="1278"/>
      <c r="CS44" s="827">
        <v>281</v>
      </c>
      <c r="CT44" s="1278"/>
      <c r="CU44" s="827">
        <v>0</v>
      </c>
      <c r="CV44" s="1278"/>
      <c r="CW44" s="827">
        <v>0</v>
      </c>
      <c r="CX44" s="1278"/>
      <c r="CY44" s="827">
        <v>0</v>
      </c>
      <c r="CZ44" s="1278"/>
      <c r="DA44" s="827">
        <v>0</v>
      </c>
      <c r="DB44" s="1278"/>
      <c r="DC44" s="827">
        <v>0</v>
      </c>
      <c r="DD44" s="1278"/>
      <c r="DE44" s="1279">
        <v>0</v>
      </c>
      <c r="DF44" s="635"/>
      <c r="DG44" s="912"/>
      <c r="DH44" s="629"/>
      <c r="DI44" s="629"/>
      <c r="DJ44" s="630" t="s">
        <v>397</v>
      </c>
      <c r="DK44" s="629"/>
      <c r="DL44" s="629"/>
      <c r="DM44" s="1275"/>
      <c r="DN44" s="1276">
        <v>0</v>
      </c>
      <c r="DO44" s="1277"/>
      <c r="DP44" s="827">
        <v>0</v>
      </c>
      <c r="DQ44" s="1278"/>
      <c r="DR44" s="827">
        <v>0</v>
      </c>
      <c r="DS44" s="1278"/>
      <c r="DT44" s="827">
        <v>0</v>
      </c>
      <c r="DU44" s="1278"/>
      <c r="DV44" s="827">
        <v>0</v>
      </c>
      <c r="DW44" s="1278"/>
      <c r="DX44" s="827">
        <v>0</v>
      </c>
      <c r="DY44" s="1278"/>
      <c r="DZ44" s="827">
        <v>0</v>
      </c>
      <c r="EA44" s="1278"/>
      <c r="EB44" s="827">
        <v>0</v>
      </c>
      <c r="EC44" s="1278"/>
      <c r="ED44" s="827">
        <v>918</v>
      </c>
      <c r="EE44" s="1278"/>
      <c r="EF44" s="827">
        <v>551</v>
      </c>
      <c r="EG44" s="1278"/>
      <c r="EH44" s="827">
        <v>508</v>
      </c>
      <c r="EI44" s="1278"/>
      <c r="EJ44" s="827">
        <v>464</v>
      </c>
      <c r="EK44" s="1278"/>
      <c r="EL44" s="827">
        <v>432</v>
      </c>
      <c r="EM44" s="1278"/>
      <c r="EN44" s="827">
        <v>389</v>
      </c>
      <c r="EO44" s="1278"/>
      <c r="EP44" s="827">
        <v>367</v>
      </c>
      <c r="EQ44" s="1278"/>
      <c r="ER44" s="827">
        <v>335</v>
      </c>
      <c r="ES44" s="1278"/>
      <c r="ET44" s="827">
        <v>302</v>
      </c>
      <c r="EU44" s="1278"/>
      <c r="EV44" s="827">
        <v>281</v>
      </c>
      <c r="EW44" s="1278"/>
      <c r="EX44" s="827">
        <v>0</v>
      </c>
      <c r="EY44" s="1278"/>
      <c r="EZ44" s="827">
        <v>0</v>
      </c>
      <c r="FA44" s="1278"/>
      <c r="FB44" s="827">
        <v>0</v>
      </c>
      <c r="FC44" s="1278"/>
      <c r="FD44" s="827">
        <v>0</v>
      </c>
      <c r="FE44" s="1278"/>
      <c r="FF44" s="827">
        <v>0</v>
      </c>
      <c r="FG44" s="1278"/>
      <c r="FH44" s="1279">
        <v>0</v>
      </c>
      <c r="FI44" s="636"/>
      <c r="FJ44" s="913"/>
      <c r="FK44" s="629"/>
      <c r="FL44" s="629"/>
      <c r="FM44" s="630" t="s">
        <v>397</v>
      </c>
      <c r="FN44" s="629"/>
      <c r="FO44" s="629"/>
      <c r="FP44" s="1267"/>
      <c r="FQ44" s="1277"/>
      <c r="FR44" s="1276">
        <v>356</v>
      </c>
      <c r="FS44" s="1280"/>
      <c r="FT44" s="1277"/>
      <c r="FU44" s="1281">
        <v>356</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5.5</v>
      </c>
      <c r="GN44" s="914"/>
      <c r="GO44" s="914">
        <v>0</v>
      </c>
      <c r="GP44" s="914"/>
      <c r="GQ44" s="889">
        <v>5.5</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6493</v>
      </c>
      <c r="Y45" s="923"/>
      <c r="Z45" s="922">
        <v>6295</v>
      </c>
      <c r="AA45" s="923"/>
      <c r="AB45" s="922">
        <v>6371</v>
      </c>
      <c r="AC45" s="923"/>
      <c r="AD45" s="922">
        <v>6388</v>
      </c>
      <c r="AE45" s="923"/>
      <c r="AF45" s="922">
        <v>6402</v>
      </c>
      <c r="AG45" s="923"/>
      <c r="AH45" s="922">
        <v>6362</v>
      </c>
      <c r="AI45" s="923"/>
      <c r="AJ45" s="922">
        <v>6239</v>
      </c>
      <c r="AK45" s="923"/>
      <c r="AL45" s="922">
        <v>6076</v>
      </c>
      <c r="AM45" s="923"/>
      <c r="AN45" s="922">
        <v>5952</v>
      </c>
      <c r="AO45" s="923"/>
      <c r="AP45" s="922">
        <v>5638</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6316</v>
      </c>
      <c r="CB45" s="923"/>
      <c r="CC45" s="922">
        <v>6061</v>
      </c>
      <c r="CD45" s="923"/>
      <c r="CE45" s="922">
        <v>6112</v>
      </c>
      <c r="CF45" s="923"/>
      <c r="CG45" s="922">
        <v>6113</v>
      </c>
      <c r="CH45" s="923"/>
      <c r="CI45" s="922">
        <v>6153</v>
      </c>
      <c r="CJ45" s="923"/>
      <c r="CK45" s="922">
        <v>6116</v>
      </c>
      <c r="CL45" s="923"/>
      <c r="CM45" s="922">
        <v>6059</v>
      </c>
      <c r="CN45" s="923"/>
      <c r="CO45" s="922">
        <v>5912</v>
      </c>
      <c r="CP45" s="923"/>
      <c r="CQ45" s="922">
        <v>6112</v>
      </c>
      <c r="CR45" s="923"/>
      <c r="CS45" s="922">
        <v>5939</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5999</v>
      </c>
      <c r="EE45" s="923"/>
      <c r="EF45" s="922">
        <v>5768</v>
      </c>
      <c r="EG45" s="923"/>
      <c r="EH45" s="922">
        <v>5819</v>
      </c>
      <c r="EI45" s="923"/>
      <c r="EJ45" s="922">
        <v>5849</v>
      </c>
      <c r="EK45" s="923"/>
      <c r="EL45" s="922">
        <v>5857</v>
      </c>
      <c r="EM45" s="923"/>
      <c r="EN45" s="922">
        <v>5799</v>
      </c>
      <c r="EO45" s="923"/>
      <c r="EP45" s="922">
        <v>5731</v>
      </c>
      <c r="EQ45" s="923"/>
      <c r="ER45" s="922">
        <v>5600</v>
      </c>
      <c r="ES45" s="923"/>
      <c r="ET45" s="922">
        <v>5352</v>
      </c>
      <c r="EU45" s="923"/>
      <c r="EV45" s="922">
        <v>5126</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2507</v>
      </c>
      <c r="FS45" s="927"/>
      <c r="FT45" s="926"/>
      <c r="FU45" s="928">
        <v>2561</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515</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515</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401</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6818</v>
      </c>
      <c r="Y47" s="955"/>
      <c r="Z47" s="954">
        <v>6610</v>
      </c>
      <c r="AA47" s="955"/>
      <c r="AB47" s="954">
        <v>6690</v>
      </c>
      <c r="AC47" s="955"/>
      <c r="AD47" s="954">
        <v>6707</v>
      </c>
      <c r="AE47" s="955"/>
      <c r="AF47" s="954">
        <v>6722</v>
      </c>
      <c r="AG47" s="955"/>
      <c r="AH47" s="954">
        <v>6680</v>
      </c>
      <c r="AI47" s="955"/>
      <c r="AJ47" s="954">
        <v>6551</v>
      </c>
      <c r="AK47" s="955"/>
      <c r="AL47" s="954">
        <v>6380</v>
      </c>
      <c r="AM47" s="955"/>
      <c r="AN47" s="954">
        <v>6250</v>
      </c>
      <c r="AO47" s="955"/>
      <c r="AP47" s="954">
        <v>5920</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6632</v>
      </c>
      <c r="CB47" s="955"/>
      <c r="CC47" s="954">
        <v>6364</v>
      </c>
      <c r="CD47" s="955"/>
      <c r="CE47" s="954">
        <v>6418</v>
      </c>
      <c r="CF47" s="955"/>
      <c r="CG47" s="954">
        <v>6419</v>
      </c>
      <c r="CH47" s="955"/>
      <c r="CI47" s="954">
        <v>6461</v>
      </c>
      <c r="CJ47" s="955"/>
      <c r="CK47" s="954">
        <v>6422</v>
      </c>
      <c r="CL47" s="955"/>
      <c r="CM47" s="954">
        <v>6362</v>
      </c>
      <c r="CN47" s="955"/>
      <c r="CO47" s="954">
        <v>6208</v>
      </c>
      <c r="CP47" s="955"/>
      <c r="CQ47" s="954">
        <v>6418</v>
      </c>
      <c r="CR47" s="955"/>
      <c r="CS47" s="954">
        <v>6236</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6299</v>
      </c>
      <c r="EE47" s="955"/>
      <c r="EF47" s="954">
        <v>6056</v>
      </c>
      <c r="EG47" s="955"/>
      <c r="EH47" s="954">
        <v>6110</v>
      </c>
      <c r="EI47" s="955"/>
      <c r="EJ47" s="954">
        <v>6141</v>
      </c>
      <c r="EK47" s="955"/>
      <c r="EL47" s="954">
        <v>6150</v>
      </c>
      <c r="EM47" s="955"/>
      <c r="EN47" s="954">
        <v>6089</v>
      </c>
      <c r="EO47" s="955"/>
      <c r="EP47" s="954">
        <v>6018</v>
      </c>
      <c r="EQ47" s="955"/>
      <c r="ER47" s="954">
        <v>5880</v>
      </c>
      <c r="ES47" s="955"/>
      <c r="ET47" s="954">
        <v>5620</v>
      </c>
      <c r="EU47" s="955"/>
      <c r="EV47" s="954">
        <v>5382</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2507</v>
      </c>
      <c r="FS47" s="963"/>
      <c r="FT47" s="962"/>
      <c r="FU47" s="964">
        <v>2561</v>
      </c>
      <c r="FV47" s="965">
        <v>9</v>
      </c>
      <c r="FW47" s="954">
        <v>6818</v>
      </c>
      <c r="FX47" s="966">
        <v>9</v>
      </c>
      <c r="FY47" s="954">
        <v>6632</v>
      </c>
      <c r="FZ47" s="966">
        <v>9</v>
      </c>
      <c r="GA47" s="954">
        <v>6299</v>
      </c>
      <c r="GB47" s="967" t="s">
        <v>542</v>
      </c>
      <c r="GC47" s="954">
        <v>6818</v>
      </c>
      <c r="GD47" s="967" t="s">
        <v>332</v>
      </c>
      <c r="GE47" s="968">
        <v>2561</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v>66</v>
      </c>
      <c r="E49" s="738">
        <v>16</v>
      </c>
      <c r="F49" s="982" t="s">
        <v>373</v>
      </c>
      <c r="G49" s="740"/>
      <c r="H49" s="546"/>
      <c r="I49" s="741"/>
      <c r="J49" s="546"/>
      <c r="K49" s="741"/>
      <c r="L49" s="546"/>
      <c r="M49" s="741"/>
      <c r="N49" s="546"/>
      <c r="O49" s="741"/>
      <c r="P49" s="546"/>
      <c r="Q49" s="741"/>
      <c r="R49" s="546"/>
      <c r="S49" s="741"/>
      <c r="T49" s="546"/>
      <c r="U49" s="741"/>
      <c r="V49" s="546"/>
      <c r="W49" s="741">
        <v>1</v>
      </c>
      <c r="X49" s="546">
        <v>1056</v>
      </c>
      <c r="Y49" s="741">
        <v>1</v>
      </c>
      <c r="Z49" s="546">
        <v>1056</v>
      </c>
      <c r="AA49" s="741">
        <v>1</v>
      </c>
      <c r="AB49" s="546">
        <v>1056</v>
      </c>
      <c r="AC49" s="741">
        <v>1</v>
      </c>
      <c r="AD49" s="546">
        <v>1056</v>
      </c>
      <c r="AE49" s="741">
        <v>1</v>
      </c>
      <c r="AF49" s="546">
        <v>1056</v>
      </c>
      <c r="AG49" s="741">
        <v>1</v>
      </c>
      <c r="AH49" s="546">
        <v>1056</v>
      </c>
      <c r="AI49" s="741">
        <v>1</v>
      </c>
      <c r="AJ49" s="546">
        <v>1056</v>
      </c>
      <c r="AK49" s="741">
        <v>1</v>
      </c>
      <c r="AL49" s="546">
        <v>1056</v>
      </c>
      <c r="AM49" s="741">
        <v>1</v>
      </c>
      <c r="AN49" s="546">
        <v>1056</v>
      </c>
      <c r="AO49" s="741">
        <v>1</v>
      </c>
      <c r="AP49" s="546">
        <v>1056</v>
      </c>
      <c r="AQ49" s="741"/>
      <c r="AR49" s="546"/>
      <c r="AS49" s="741"/>
      <c r="AT49" s="546"/>
      <c r="AU49" s="741"/>
      <c r="AV49" s="546"/>
      <c r="AW49" s="741"/>
      <c r="AX49" s="546"/>
      <c r="AY49" s="983"/>
      <c r="AZ49" s="984"/>
      <c r="BA49" s="985"/>
      <c r="BB49" s="986"/>
      <c r="BC49" s="917"/>
      <c r="BD49" s="980"/>
      <c r="BE49" s="735" t="s">
        <v>372</v>
      </c>
      <c r="BF49" s="981"/>
      <c r="BG49" s="737"/>
      <c r="BH49" s="738">
        <v>16</v>
      </c>
      <c r="BI49" s="982" t="s">
        <v>373</v>
      </c>
      <c r="BJ49" s="740"/>
      <c r="BK49" s="546"/>
      <c r="BL49" s="741"/>
      <c r="BM49" s="546"/>
      <c r="BN49" s="741"/>
      <c r="BO49" s="546"/>
      <c r="BP49" s="741"/>
      <c r="BQ49" s="546"/>
      <c r="BR49" s="741"/>
      <c r="BS49" s="546"/>
      <c r="BT49" s="741"/>
      <c r="BU49" s="546"/>
      <c r="BV49" s="741"/>
      <c r="BW49" s="546"/>
      <c r="BX49" s="741"/>
      <c r="BY49" s="546"/>
      <c r="BZ49" s="741">
        <v>1</v>
      </c>
      <c r="CA49" s="546">
        <v>1056</v>
      </c>
      <c r="CB49" s="741">
        <v>1</v>
      </c>
      <c r="CC49" s="546">
        <v>1056</v>
      </c>
      <c r="CD49" s="741">
        <v>1</v>
      </c>
      <c r="CE49" s="546">
        <v>1056</v>
      </c>
      <c r="CF49" s="741">
        <v>1</v>
      </c>
      <c r="CG49" s="546">
        <v>1056</v>
      </c>
      <c r="CH49" s="741">
        <v>1</v>
      </c>
      <c r="CI49" s="546">
        <v>1056</v>
      </c>
      <c r="CJ49" s="741">
        <v>1</v>
      </c>
      <c r="CK49" s="546">
        <v>1056</v>
      </c>
      <c r="CL49" s="741">
        <v>1</v>
      </c>
      <c r="CM49" s="546">
        <v>1056</v>
      </c>
      <c r="CN49" s="741">
        <v>1</v>
      </c>
      <c r="CO49" s="546">
        <v>1056</v>
      </c>
      <c r="CP49" s="741">
        <v>1</v>
      </c>
      <c r="CQ49" s="546">
        <v>1056</v>
      </c>
      <c r="CR49" s="741">
        <v>1</v>
      </c>
      <c r="CS49" s="546">
        <v>1056</v>
      </c>
      <c r="CT49" s="741"/>
      <c r="CU49" s="546"/>
      <c r="CV49" s="741"/>
      <c r="CW49" s="546"/>
      <c r="CX49" s="741"/>
      <c r="CY49" s="546"/>
      <c r="CZ49" s="741"/>
      <c r="DA49" s="546"/>
      <c r="DB49" s="983"/>
      <c r="DC49" s="984"/>
      <c r="DD49" s="985"/>
      <c r="DE49" s="986"/>
      <c r="DF49" s="917"/>
      <c r="DG49" s="980"/>
      <c r="DH49" s="735" t="s">
        <v>372</v>
      </c>
      <c r="DI49" s="981"/>
      <c r="DJ49" s="737"/>
      <c r="DK49" s="738">
        <v>16</v>
      </c>
      <c r="DL49" s="982" t="s">
        <v>373</v>
      </c>
      <c r="DM49" s="740"/>
      <c r="DN49" s="546"/>
      <c r="DO49" s="741"/>
      <c r="DP49" s="546"/>
      <c r="DQ49" s="741"/>
      <c r="DR49" s="546"/>
      <c r="DS49" s="741"/>
      <c r="DT49" s="546"/>
      <c r="DU49" s="741"/>
      <c r="DV49" s="546"/>
      <c r="DW49" s="741"/>
      <c r="DX49" s="546"/>
      <c r="DY49" s="741"/>
      <c r="DZ49" s="546"/>
      <c r="EA49" s="741"/>
      <c r="EB49" s="546"/>
      <c r="EC49" s="741">
        <v>1</v>
      </c>
      <c r="ED49" s="546">
        <v>1056</v>
      </c>
      <c r="EE49" s="741">
        <v>1</v>
      </c>
      <c r="EF49" s="546">
        <v>1056</v>
      </c>
      <c r="EG49" s="741">
        <v>1</v>
      </c>
      <c r="EH49" s="546">
        <v>1056</v>
      </c>
      <c r="EI49" s="741">
        <v>1</v>
      </c>
      <c r="EJ49" s="546">
        <v>1056</v>
      </c>
      <c r="EK49" s="741">
        <v>1</v>
      </c>
      <c r="EL49" s="546">
        <v>1056</v>
      </c>
      <c r="EM49" s="741">
        <v>1</v>
      </c>
      <c r="EN49" s="546">
        <v>1056</v>
      </c>
      <c r="EO49" s="741">
        <v>1</v>
      </c>
      <c r="EP49" s="546">
        <v>1056</v>
      </c>
      <c r="EQ49" s="741">
        <v>1</v>
      </c>
      <c r="ER49" s="546">
        <v>1056</v>
      </c>
      <c r="ES49" s="741">
        <v>1</v>
      </c>
      <c r="ET49" s="546">
        <v>1056</v>
      </c>
      <c r="EU49" s="741">
        <v>1</v>
      </c>
      <c r="EV49" s="546">
        <v>1056</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642</v>
      </c>
      <c r="GV50" s="567"/>
      <c r="GW50" s="567"/>
      <c r="GX50" s="567"/>
      <c r="GY50" s="602"/>
      <c r="GZ50" s="566"/>
      <c r="HA50" s="602">
        <v>3.3</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3.3</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1056</v>
      </c>
      <c r="Y52" s="1038"/>
      <c r="Z52" s="1037">
        <v>1056</v>
      </c>
      <c r="AA52" s="1038"/>
      <c r="AB52" s="1037">
        <v>1056</v>
      </c>
      <c r="AC52" s="1038"/>
      <c r="AD52" s="1037">
        <v>1056</v>
      </c>
      <c r="AE52" s="1038"/>
      <c r="AF52" s="1037">
        <v>1056</v>
      </c>
      <c r="AG52" s="1038"/>
      <c r="AH52" s="1037">
        <v>1056</v>
      </c>
      <c r="AI52" s="1038"/>
      <c r="AJ52" s="1037">
        <v>1056</v>
      </c>
      <c r="AK52" s="1038"/>
      <c r="AL52" s="1037">
        <v>1056</v>
      </c>
      <c r="AM52" s="1038"/>
      <c r="AN52" s="1037">
        <v>1056</v>
      </c>
      <c r="AO52" s="1038"/>
      <c r="AP52" s="1037">
        <v>1056</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1056</v>
      </c>
      <c r="CB52" s="1038"/>
      <c r="CC52" s="1037">
        <v>1056</v>
      </c>
      <c r="CD52" s="1038"/>
      <c r="CE52" s="1037">
        <v>1056</v>
      </c>
      <c r="CF52" s="1038"/>
      <c r="CG52" s="1037">
        <v>1056</v>
      </c>
      <c r="CH52" s="1038"/>
      <c r="CI52" s="1037">
        <v>1056</v>
      </c>
      <c r="CJ52" s="1038"/>
      <c r="CK52" s="1037">
        <v>1056</v>
      </c>
      <c r="CL52" s="1038"/>
      <c r="CM52" s="1037">
        <v>1056</v>
      </c>
      <c r="CN52" s="1038"/>
      <c r="CO52" s="1037">
        <v>1056</v>
      </c>
      <c r="CP52" s="1038"/>
      <c r="CQ52" s="1037">
        <v>1056</v>
      </c>
      <c r="CR52" s="1038"/>
      <c r="CS52" s="1037">
        <v>1056</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1056</v>
      </c>
      <c r="EE52" s="1038"/>
      <c r="EF52" s="1037">
        <v>1056</v>
      </c>
      <c r="EG52" s="1038"/>
      <c r="EH52" s="1037">
        <v>1056</v>
      </c>
      <c r="EI52" s="1038"/>
      <c r="EJ52" s="1037">
        <v>1056</v>
      </c>
      <c r="EK52" s="1038"/>
      <c r="EL52" s="1037">
        <v>1056</v>
      </c>
      <c r="EM52" s="1038"/>
      <c r="EN52" s="1037">
        <v>1056</v>
      </c>
      <c r="EO52" s="1038"/>
      <c r="EP52" s="1037">
        <v>1056</v>
      </c>
      <c r="EQ52" s="1038"/>
      <c r="ER52" s="1037">
        <v>1056</v>
      </c>
      <c r="ES52" s="1038"/>
      <c r="ET52" s="1037">
        <v>1056</v>
      </c>
      <c r="EU52" s="1038"/>
      <c r="EV52" s="1037">
        <v>1056</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9</v>
      </c>
      <c r="FW52" s="1048">
        <v>1056</v>
      </c>
      <c r="FX52" s="1049">
        <v>9</v>
      </c>
      <c r="FY52" s="1048">
        <v>1056</v>
      </c>
      <c r="FZ52" s="1049">
        <v>9</v>
      </c>
      <c r="GA52" s="1048">
        <v>1056</v>
      </c>
      <c r="GB52" s="1050" t="s">
        <v>542</v>
      </c>
      <c r="GC52" s="1051">
        <v>1056</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7874</v>
      </c>
      <c r="Y53" s="1065"/>
      <c r="Z53" s="1064">
        <v>7666</v>
      </c>
      <c r="AA53" s="1065"/>
      <c r="AB53" s="1064">
        <v>7746</v>
      </c>
      <c r="AC53" s="1065"/>
      <c r="AD53" s="1064">
        <v>7763</v>
      </c>
      <c r="AE53" s="1065"/>
      <c r="AF53" s="1064">
        <v>7778</v>
      </c>
      <c r="AG53" s="1065"/>
      <c r="AH53" s="1064">
        <v>7736</v>
      </c>
      <c r="AI53" s="1065"/>
      <c r="AJ53" s="1064">
        <v>7607</v>
      </c>
      <c r="AK53" s="1065"/>
      <c r="AL53" s="1064">
        <v>7436</v>
      </c>
      <c r="AM53" s="1065"/>
      <c r="AN53" s="1064">
        <v>7306</v>
      </c>
      <c r="AO53" s="1065"/>
      <c r="AP53" s="1064">
        <v>6976</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7688</v>
      </c>
      <c r="CB53" s="1065"/>
      <c r="CC53" s="1064">
        <v>7420</v>
      </c>
      <c r="CD53" s="1065"/>
      <c r="CE53" s="1064">
        <v>7474</v>
      </c>
      <c r="CF53" s="1065"/>
      <c r="CG53" s="1064">
        <v>7475</v>
      </c>
      <c r="CH53" s="1065"/>
      <c r="CI53" s="1064">
        <v>7517</v>
      </c>
      <c r="CJ53" s="1065"/>
      <c r="CK53" s="1064">
        <v>7478</v>
      </c>
      <c r="CL53" s="1065"/>
      <c r="CM53" s="1064">
        <v>7418</v>
      </c>
      <c r="CN53" s="1065"/>
      <c r="CO53" s="1064">
        <v>7264</v>
      </c>
      <c r="CP53" s="1065"/>
      <c r="CQ53" s="1064">
        <v>7474</v>
      </c>
      <c r="CR53" s="1065"/>
      <c r="CS53" s="1064">
        <v>7292</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7355</v>
      </c>
      <c r="EE53" s="1065"/>
      <c r="EF53" s="1064">
        <v>7112</v>
      </c>
      <c r="EG53" s="1065"/>
      <c r="EH53" s="1064">
        <v>7166</v>
      </c>
      <c r="EI53" s="1065"/>
      <c r="EJ53" s="1064">
        <v>7197</v>
      </c>
      <c r="EK53" s="1065"/>
      <c r="EL53" s="1064">
        <v>7206</v>
      </c>
      <c r="EM53" s="1065"/>
      <c r="EN53" s="1064">
        <v>7145</v>
      </c>
      <c r="EO53" s="1065"/>
      <c r="EP53" s="1064">
        <v>7074</v>
      </c>
      <c r="EQ53" s="1065"/>
      <c r="ER53" s="1064">
        <v>6936</v>
      </c>
      <c r="ES53" s="1065"/>
      <c r="ET53" s="1064">
        <v>6676</v>
      </c>
      <c r="EU53" s="1065"/>
      <c r="EV53" s="1064">
        <v>6438</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2507</v>
      </c>
      <c r="FS53" s="1072"/>
      <c r="FT53" s="1071"/>
      <c r="FU53" s="1073">
        <v>2561</v>
      </c>
      <c r="FV53" s="1074">
        <v>9</v>
      </c>
      <c r="FW53" s="1075">
        <v>7874</v>
      </c>
      <c r="FX53" s="1076">
        <v>9</v>
      </c>
      <c r="FY53" s="1075">
        <v>7688</v>
      </c>
      <c r="FZ53" s="1076">
        <v>9</v>
      </c>
      <c r="GA53" s="1075">
        <v>7355</v>
      </c>
      <c r="GB53" s="1077" t="s">
        <v>542</v>
      </c>
      <c r="GC53" s="1075">
        <v>7874</v>
      </c>
      <c r="GD53" s="1077" t="s">
        <v>332</v>
      </c>
      <c r="GE53" s="1078">
        <v>2561</v>
      </c>
      <c r="GF53" s="671"/>
      <c r="GG53" s="969"/>
      <c r="GH53" s="969"/>
      <c r="GI53" s="969"/>
      <c r="GJ53" s="932"/>
      <c r="GK53" s="404"/>
      <c r="GL53" s="1079">
        <v>10</v>
      </c>
      <c r="GM53" s="1080">
        <v>1</v>
      </c>
      <c r="GN53" s="1081">
        <v>0.92</v>
      </c>
      <c r="GO53" s="1082">
        <v>5.0999999999999996</v>
      </c>
      <c r="GP53" s="1082">
        <v>0</v>
      </c>
      <c r="GQ53" s="1083">
        <v>5.0999999999999996</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72.900000000000006</v>
      </c>
      <c r="Y54" s="1092"/>
      <c r="Z54" s="1091">
        <v>71</v>
      </c>
      <c r="AA54" s="1092"/>
      <c r="AB54" s="1091">
        <v>71.7</v>
      </c>
      <c r="AC54" s="1092"/>
      <c r="AD54" s="1091">
        <v>71.900000000000006</v>
      </c>
      <c r="AE54" s="1092"/>
      <c r="AF54" s="1091">
        <v>72</v>
      </c>
      <c r="AG54" s="1092"/>
      <c r="AH54" s="1091">
        <v>71.599999999999994</v>
      </c>
      <c r="AI54" s="1092"/>
      <c r="AJ54" s="1091">
        <v>70.400000000000006</v>
      </c>
      <c r="AK54" s="1092"/>
      <c r="AL54" s="1091">
        <v>68.900000000000006</v>
      </c>
      <c r="AM54" s="1092"/>
      <c r="AN54" s="1091">
        <v>67.599999999999994</v>
      </c>
      <c r="AO54" s="1092"/>
      <c r="AP54" s="1091">
        <v>64.599999999999994</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71.2</v>
      </c>
      <c r="CB54" s="1092"/>
      <c r="CC54" s="1091">
        <v>68.7</v>
      </c>
      <c r="CD54" s="1092"/>
      <c r="CE54" s="1091">
        <v>69.2</v>
      </c>
      <c r="CF54" s="1092"/>
      <c r="CG54" s="1091">
        <v>69.2</v>
      </c>
      <c r="CH54" s="1092"/>
      <c r="CI54" s="1091">
        <v>69.599999999999994</v>
      </c>
      <c r="CJ54" s="1092"/>
      <c r="CK54" s="1091">
        <v>69.2</v>
      </c>
      <c r="CL54" s="1092"/>
      <c r="CM54" s="1091">
        <v>68.7</v>
      </c>
      <c r="CN54" s="1092"/>
      <c r="CO54" s="1091">
        <v>67.3</v>
      </c>
      <c r="CP54" s="1092"/>
      <c r="CQ54" s="1091">
        <v>69.2</v>
      </c>
      <c r="CR54" s="1092"/>
      <c r="CS54" s="1091">
        <v>67.5</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68.099999999999994</v>
      </c>
      <c r="EE54" s="1092"/>
      <c r="EF54" s="1091">
        <v>65.900000000000006</v>
      </c>
      <c r="EG54" s="1092"/>
      <c r="EH54" s="1091">
        <v>66.400000000000006</v>
      </c>
      <c r="EI54" s="1092"/>
      <c r="EJ54" s="1091">
        <v>66.599999999999994</v>
      </c>
      <c r="EK54" s="1092"/>
      <c r="EL54" s="1091">
        <v>66.7</v>
      </c>
      <c r="EM54" s="1092"/>
      <c r="EN54" s="1091">
        <v>66.2</v>
      </c>
      <c r="EO54" s="1092"/>
      <c r="EP54" s="1091">
        <v>65.5</v>
      </c>
      <c r="EQ54" s="1092"/>
      <c r="ER54" s="1091">
        <v>64.2</v>
      </c>
      <c r="ES54" s="1092"/>
      <c r="ET54" s="1091">
        <v>61.8</v>
      </c>
      <c r="EU54" s="1092"/>
      <c r="EV54" s="1091">
        <v>59.6</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23.2</v>
      </c>
      <c r="FS54" s="1095"/>
      <c r="FT54" s="1092"/>
      <c r="FU54" s="1096">
        <v>23.7</v>
      </c>
      <c r="FV54" s="1095"/>
      <c r="FW54" s="1091">
        <f>IF(面積=0,0,ROUND(FW53/面積,1))</f>
        <v>72.900000000000006</v>
      </c>
      <c r="FX54" s="1095"/>
      <c r="FY54" s="1091">
        <f>IF(面積=0,0,ROUND(FY53/面積,1))</f>
        <v>71.2</v>
      </c>
      <c r="FZ54" s="1095"/>
      <c r="GA54" s="1091">
        <f>IF(面積=0,0,ROUND(GA53/面積,1))</f>
        <v>68.099999999999994</v>
      </c>
      <c r="GB54" s="1095"/>
      <c r="GC54" s="1091">
        <f>IF(面積=0,0,ROUND(GC53/面積,1))</f>
        <v>72.900000000000006</v>
      </c>
      <c r="GD54" s="1095"/>
      <c r="GE54" s="1093">
        <f>IF(面積=0,0,ROUND(GE53/面積,1))</f>
        <v>23.7</v>
      </c>
      <c r="GF54" s="671"/>
      <c r="GG54" s="916"/>
      <c r="GH54" s="916"/>
      <c r="GI54" s="916"/>
      <c r="GJ54" s="567"/>
      <c r="GK54" s="566"/>
      <c r="GL54" s="1079">
        <v>11</v>
      </c>
      <c r="GM54" s="1080">
        <v>2</v>
      </c>
      <c r="GN54" s="1081">
        <v>0.85</v>
      </c>
      <c r="GO54" s="1082">
        <v>4.7</v>
      </c>
      <c r="GP54" s="1082">
        <v>0</v>
      </c>
      <c r="GQ54" s="1083">
        <v>4.7</v>
      </c>
      <c r="GR54" s="517"/>
      <c r="GS54" s="567"/>
      <c r="GT54" s="840"/>
      <c r="GU54" s="1097" t="s">
        <v>486</v>
      </c>
      <c r="GV54" s="1097"/>
      <c r="GW54" s="1097"/>
      <c r="GX54" s="1097"/>
      <c r="GY54" s="758"/>
      <c r="GZ54" s="1098"/>
      <c r="HA54" s="1099">
        <v>3.3</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4.3</v>
      </c>
      <c r="GP55" s="1082">
        <v>0</v>
      </c>
      <c r="GQ55" s="1083">
        <v>4.3</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633</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4</v>
      </c>
      <c r="GP56" s="1082">
        <v>0</v>
      </c>
      <c r="GQ56" s="1083">
        <v>4</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3.6</v>
      </c>
      <c r="GP57" s="1082">
        <v>0</v>
      </c>
      <c r="GQ57" s="1083">
        <v>3.6</v>
      </c>
      <c r="GR57" s="932"/>
      <c r="GS57" s="516"/>
      <c r="GT57" s="1243"/>
      <c r="GU57" s="565"/>
      <c r="GV57" s="565"/>
      <c r="GW57" s="487"/>
      <c r="GX57" s="1246"/>
      <c r="GY57" s="566"/>
      <c r="GZ57" s="487"/>
      <c r="HA57" s="565"/>
      <c r="HB57" s="487"/>
      <c r="HC57" s="1031"/>
    </row>
    <row r="58" spans="1:212" ht="20.100000000000001" customHeight="1">
      <c r="A58" s="1141" t="s">
        <v>785</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480</v>
      </c>
      <c r="Y58" s="1147"/>
      <c r="Z58" s="1146">
        <v>480</v>
      </c>
      <c r="AA58" s="1147"/>
      <c r="AB58" s="1146">
        <v>480</v>
      </c>
      <c r="AC58" s="1147"/>
      <c r="AD58" s="1146">
        <v>480</v>
      </c>
      <c r="AE58" s="1147"/>
      <c r="AF58" s="1146">
        <v>480</v>
      </c>
      <c r="AG58" s="1147"/>
      <c r="AH58" s="1146">
        <v>480</v>
      </c>
      <c r="AI58" s="1147"/>
      <c r="AJ58" s="1146">
        <v>480</v>
      </c>
      <c r="AK58" s="1147"/>
      <c r="AL58" s="1146">
        <v>480</v>
      </c>
      <c r="AM58" s="1147"/>
      <c r="AN58" s="1146">
        <v>480</v>
      </c>
      <c r="AO58" s="1147"/>
      <c r="AP58" s="1146">
        <v>480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480</v>
      </c>
      <c r="CB58" s="1147"/>
      <c r="CC58" s="1146">
        <v>480</v>
      </c>
      <c r="CD58" s="1147"/>
      <c r="CE58" s="1146">
        <v>480</v>
      </c>
      <c r="CF58" s="1147"/>
      <c r="CG58" s="1146">
        <v>480</v>
      </c>
      <c r="CH58" s="1147"/>
      <c r="CI58" s="1146">
        <v>480</v>
      </c>
      <c r="CJ58" s="1147"/>
      <c r="CK58" s="1146">
        <v>480</v>
      </c>
      <c r="CL58" s="1147"/>
      <c r="CM58" s="1146">
        <v>480</v>
      </c>
      <c r="CN58" s="1147"/>
      <c r="CO58" s="1146">
        <v>480</v>
      </c>
      <c r="CP58" s="1147"/>
      <c r="CQ58" s="1146">
        <v>480</v>
      </c>
      <c r="CR58" s="1147"/>
      <c r="CS58" s="1146">
        <v>480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480</v>
      </c>
      <c r="EE58" s="1147"/>
      <c r="EF58" s="1146">
        <v>480</v>
      </c>
      <c r="EG58" s="1147"/>
      <c r="EH58" s="1146">
        <v>480</v>
      </c>
      <c r="EI58" s="1147"/>
      <c r="EJ58" s="1146">
        <v>480</v>
      </c>
      <c r="EK58" s="1147"/>
      <c r="EL58" s="1146">
        <v>480</v>
      </c>
      <c r="EM58" s="1147"/>
      <c r="EN58" s="1146">
        <v>480</v>
      </c>
      <c r="EO58" s="1147"/>
      <c r="EP58" s="1146">
        <v>480</v>
      </c>
      <c r="EQ58" s="1147"/>
      <c r="ER58" s="1146">
        <v>480</v>
      </c>
      <c r="ES58" s="1147"/>
      <c r="ET58" s="1146">
        <v>480</v>
      </c>
      <c r="EU58" s="1147"/>
      <c r="EV58" s="1146">
        <v>480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480</v>
      </c>
      <c r="FS58" s="1150"/>
      <c r="FT58" s="1149"/>
      <c r="FU58" s="1151">
        <v>480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3.4</v>
      </c>
      <c r="GP58" s="1082">
        <v>0</v>
      </c>
      <c r="GQ58" s="1083">
        <v>3.4</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t="s">
        <v>773</v>
      </c>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23.4</v>
      </c>
      <c r="X59" s="574">
        <v>3744</v>
      </c>
      <c r="Y59" s="1163">
        <v>24.3</v>
      </c>
      <c r="Z59" s="574">
        <v>3888</v>
      </c>
      <c r="AA59" s="1163">
        <v>24.6</v>
      </c>
      <c r="AB59" s="574">
        <v>3936</v>
      </c>
      <c r="AC59" s="1163">
        <v>25.9</v>
      </c>
      <c r="AD59" s="574">
        <v>4144</v>
      </c>
      <c r="AE59" s="1163">
        <v>25.5</v>
      </c>
      <c r="AF59" s="574">
        <v>4080</v>
      </c>
      <c r="AG59" s="1163">
        <v>24.8</v>
      </c>
      <c r="AH59" s="574">
        <v>3968</v>
      </c>
      <c r="AI59" s="1163">
        <v>24.8</v>
      </c>
      <c r="AJ59" s="574">
        <v>3968</v>
      </c>
      <c r="AK59" s="1163">
        <v>24.5</v>
      </c>
      <c r="AL59" s="574">
        <v>3920</v>
      </c>
      <c r="AM59" s="1163">
        <v>23.8</v>
      </c>
      <c r="AN59" s="574">
        <v>3808</v>
      </c>
      <c r="AO59" s="1163">
        <v>23.1</v>
      </c>
      <c r="AP59" s="574">
        <v>3696</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t="s">
        <v>773</v>
      </c>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18.3</v>
      </c>
      <c r="CA59" s="574">
        <v>2928</v>
      </c>
      <c r="CB59" s="1163">
        <v>19.100000000000001</v>
      </c>
      <c r="CC59" s="574">
        <v>3056</v>
      </c>
      <c r="CD59" s="1163">
        <v>20</v>
      </c>
      <c r="CE59" s="574">
        <v>3200</v>
      </c>
      <c r="CF59" s="1163">
        <v>20.7</v>
      </c>
      <c r="CG59" s="574">
        <v>3312</v>
      </c>
      <c r="CH59" s="1163">
        <v>21.1</v>
      </c>
      <c r="CI59" s="574">
        <v>3376</v>
      </c>
      <c r="CJ59" s="1163">
        <v>20.399999999999999</v>
      </c>
      <c r="CK59" s="574">
        <v>3264</v>
      </c>
      <c r="CL59" s="1163">
        <v>20.2</v>
      </c>
      <c r="CM59" s="574">
        <v>3232</v>
      </c>
      <c r="CN59" s="1163">
        <v>20</v>
      </c>
      <c r="CO59" s="574">
        <v>3200</v>
      </c>
      <c r="CP59" s="1163">
        <v>20</v>
      </c>
      <c r="CQ59" s="574">
        <v>3200</v>
      </c>
      <c r="CR59" s="1163">
        <v>19.3</v>
      </c>
      <c r="CS59" s="574">
        <v>3088</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t="s">
        <v>773</v>
      </c>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9.5</v>
      </c>
      <c r="ED59" s="574">
        <v>1520</v>
      </c>
      <c r="EE59" s="1163">
        <v>10.6</v>
      </c>
      <c r="EF59" s="574">
        <v>1696</v>
      </c>
      <c r="EG59" s="1163">
        <v>10.7</v>
      </c>
      <c r="EH59" s="574">
        <v>1712</v>
      </c>
      <c r="EI59" s="1163">
        <v>11.1</v>
      </c>
      <c r="EJ59" s="574">
        <v>1776</v>
      </c>
      <c r="EK59" s="1163">
        <v>10.8</v>
      </c>
      <c r="EL59" s="574">
        <v>1728</v>
      </c>
      <c r="EM59" s="1163">
        <v>10.3</v>
      </c>
      <c r="EN59" s="574">
        <v>1648</v>
      </c>
      <c r="EO59" s="1163">
        <v>10.1</v>
      </c>
      <c r="EP59" s="574">
        <v>1616</v>
      </c>
      <c r="EQ59" s="1163">
        <v>10.199999999999999</v>
      </c>
      <c r="ER59" s="574">
        <v>1632</v>
      </c>
      <c r="ES59" s="1163">
        <v>9.6999999999999993</v>
      </c>
      <c r="ET59" s="574">
        <v>1552</v>
      </c>
      <c r="EU59" s="1163">
        <v>10.199999999999999</v>
      </c>
      <c r="EV59" s="574">
        <v>1632</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t="s">
        <v>773</v>
      </c>
      <c r="FN59" s="1161"/>
      <c r="FO59" s="1000"/>
      <c r="FP59" s="612">
        <v>9</v>
      </c>
      <c r="FQ59" s="1164">
        <v>26.9</v>
      </c>
      <c r="FR59" s="1165">
        <v>4304</v>
      </c>
      <c r="FS59" s="1166">
        <v>9</v>
      </c>
      <c r="FT59" s="1164">
        <v>23.2</v>
      </c>
      <c r="FU59" s="1167">
        <v>3712</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3.1</v>
      </c>
      <c r="GP59" s="1082">
        <v>0</v>
      </c>
      <c r="GQ59" s="1083">
        <v>3.1</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2.8</v>
      </c>
      <c r="GP60" s="1082">
        <v>0</v>
      </c>
      <c r="GQ60" s="1083">
        <v>2.8</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11618</v>
      </c>
      <c r="Y61" s="1184"/>
      <c r="Z61" s="1185">
        <v>11554</v>
      </c>
      <c r="AA61" s="1184"/>
      <c r="AB61" s="1185">
        <v>11682</v>
      </c>
      <c r="AC61" s="1184"/>
      <c r="AD61" s="1185">
        <v>11907</v>
      </c>
      <c r="AE61" s="1184"/>
      <c r="AF61" s="1185">
        <v>11858</v>
      </c>
      <c r="AG61" s="1184"/>
      <c r="AH61" s="1185">
        <v>11704</v>
      </c>
      <c r="AI61" s="1184"/>
      <c r="AJ61" s="1185">
        <v>11575</v>
      </c>
      <c r="AK61" s="1184"/>
      <c r="AL61" s="1185">
        <v>11356</v>
      </c>
      <c r="AM61" s="1184"/>
      <c r="AN61" s="1185">
        <v>11114</v>
      </c>
      <c r="AO61" s="1184"/>
      <c r="AP61" s="1185">
        <v>10672</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10616</v>
      </c>
      <c r="CB61" s="1184"/>
      <c r="CC61" s="1185">
        <v>10476</v>
      </c>
      <c r="CD61" s="1184"/>
      <c r="CE61" s="1185">
        <v>10674</v>
      </c>
      <c r="CF61" s="1184"/>
      <c r="CG61" s="1185">
        <v>10787</v>
      </c>
      <c r="CH61" s="1184"/>
      <c r="CI61" s="1185">
        <v>10893</v>
      </c>
      <c r="CJ61" s="1184"/>
      <c r="CK61" s="1185">
        <v>10742</v>
      </c>
      <c r="CL61" s="1184"/>
      <c r="CM61" s="1185">
        <v>10650</v>
      </c>
      <c r="CN61" s="1184"/>
      <c r="CO61" s="1185">
        <v>10464</v>
      </c>
      <c r="CP61" s="1184"/>
      <c r="CQ61" s="1185">
        <v>10674</v>
      </c>
      <c r="CR61" s="1184"/>
      <c r="CS61" s="1185">
        <v>10380</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8875</v>
      </c>
      <c r="EE61" s="1184"/>
      <c r="EF61" s="1185">
        <v>8808</v>
      </c>
      <c r="EG61" s="1184"/>
      <c r="EH61" s="1185">
        <v>8878</v>
      </c>
      <c r="EI61" s="1184"/>
      <c r="EJ61" s="1185">
        <v>8973</v>
      </c>
      <c r="EK61" s="1184"/>
      <c r="EL61" s="1185">
        <v>8934</v>
      </c>
      <c r="EM61" s="1184"/>
      <c r="EN61" s="1185">
        <v>8793</v>
      </c>
      <c r="EO61" s="1184"/>
      <c r="EP61" s="1185">
        <v>8690</v>
      </c>
      <c r="EQ61" s="1184"/>
      <c r="ER61" s="1185">
        <v>8568</v>
      </c>
      <c r="ES61" s="1184"/>
      <c r="ET61" s="1185">
        <v>8228</v>
      </c>
      <c r="EU61" s="1184"/>
      <c r="EV61" s="1185">
        <v>8070</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6811</v>
      </c>
      <c r="FS61" s="1190"/>
      <c r="FT61" s="1188"/>
      <c r="FU61" s="1191">
        <v>6273</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2.6</v>
      </c>
      <c r="GP61" s="1082">
        <v>0</v>
      </c>
      <c r="GQ61" s="1083">
        <v>2.6</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t="s">
        <v>777</v>
      </c>
      <c r="FN66" s="1221"/>
      <c r="FO66" s="1181"/>
      <c r="FP66" s="1187">
        <v>9</v>
      </c>
      <c r="FQ66" s="1222">
        <v>4.0999999999999996</v>
      </c>
      <c r="FR66" s="1223">
        <v>2.4</v>
      </c>
      <c r="FS66" s="1190">
        <v>9</v>
      </c>
      <c r="FT66" s="1222">
        <v>2.4</v>
      </c>
      <c r="FU66" s="1224">
        <v>1.4</v>
      </c>
      <c r="FV66" s="1225"/>
      <c r="FW66" s="1226"/>
      <c r="FX66" s="1226"/>
      <c r="FY66" s="1226"/>
      <c r="FZ66" s="1226"/>
      <c r="GA66" s="1226"/>
      <c r="GB66" s="1226"/>
      <c r="GC66" s="1227"/>
      <c r="GD66" s="1190"/>
      <c r="GE66" s="1228">
        <v>2.4</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t="s">
        <v>327</v>
      </c>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t="str">
        <f>$G68</f>
        <v>(C)室内全熱負荷以降の外気負荷等は、熱源容量計算用の基準別、時刻別の値です。外気負荷を含めた空調機の容量の計算等は別紙「ACU-2系統 空調機容量の計算」をご参照ください。</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t="str">
        <f>$G68</f>
        <v>(C)室内全熱負荷以降の外気負荷等は、熱源容量計算用の基準別、時刻別の値です。外気負荷を含めた空調機の容量の計算等は別紙「ACU-2系統 空調機容量の計算」をご参照ください。</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650</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545</v>
      </c>
      <c r="B3" s="385">
        <v>208</v>
      </c>
      <c r="C3" s="386" t="s">
        <v>336</v>
      </c>
      <c r="D3" s="387" t="s">
        <v>653</v>
      </c>
      <c r="E3" s="387"/>
      <c r="F3" s="387"/>
      <c r="G3" s="387"/>
      <c r="H3" s="387"/>
      <c r="I3" s="387"/>
      <c r="J3" s="388"/>
      <c r="K3" s="389" t="s">
        <v>338</v>
      </c>
      <c r="L3" s="390"/>
      <c r="M3" s="389" t="s">
        <v>339</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208</v>
      </c>
      <c r="BF3" s="386" t="s">
        <v>335</v>
      </c>
      <c r="BG3" s="398" t="s">
        <v>649</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208</v>
      </c>
      <c r="DI3" s="386" t="s">
        <v>335</v>
      </c>
      <c r="DJ3" s="398" t="s">
        <v>649</v>
      </c>
      <c r="DK3" s="398"/>
      <c r="DL3" s="398"/>
      <c r="DM3" s="398"/>
      <c r="DN3" s="398"/>
      <c r="DO3" s="398"/>
      <c r="DP3" s="399"/>
      <c r="DQ3" s="389" t="s">
        <v>338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208</v>
      </c>
      <c r="FL3" s="386" t="s">
        <v>335</v>
      </c>
      <c r="FM3" s="398" t="s">
        <v>649</v>
      </c>
      <c r="FN3" s="398"/>
      <c r="FO3" s="398"/>
      <c r="FP3" s="398"/>
      <c r="FQ3" s="398"/>
      <c r="FR3" s="398"/>
      <c r="FS3" s="399"/>
      <c r="FT3" s="389" t="s">
        <v>596</v>
      </c>
      <c r="FU3" s="390"/>
      <c r="FV3" s="389" t="s">
        <v>339</v>
      </c>
      <c r="FW3" s="390"/>
      <c r="FX3" s="391" t="s">
        <v>769</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108</v>
      </c>
      <c r="E5" s="433" t="s">
        <v>350</v>
      </c>
      <c r="F5" s="434">
        <v>2.7</v>
      </c>
      <c r="G5" s="435" t="s">
        <v>351</v>
      </c>
      <c r="H5" s="436"/>
      <c r="I5" s="437">
        <v>291.60000000000002</v>
      </c>
      <c r="J5" s="438"/>
      <c r="K5" s="439">
        <v>480</v>
      </c>
      <c r="L5" s="440"/>
      <c r="M5" s="439">
        <v>90</v>
      </c>
      <c r="N5" s="440"/>
      <c r="O5" s="1470" t="s">
        <v>825</v>
      </c>
      <c r="P5" s="441"/>
      <c r="Q5" s="1471" t="s">
        <v>816</v>
      </c>
      <c r="R5" s="442"/>
      <c r="S5" s="1472" t="s">
        <v>820</v>
      </c>
      <c r="T5" s="443"/>
      <c r="U5" s="1473" t="s">
        <v>826</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108</v>
      </c>
      <c r="BH5" s="433" t="s">
        <v>350</v>
      </c>
      <c r="BI5" s="434">
        <v>2.7</v>
      </c>
      <c r="BJ5" s="435" t="s">
        <v>351</v>
      </c>
      <c r="BK5" s="436"/>
      <c r="BL5" s="437">
        <v>291.60000000000002</v>
      </c>
      <c r="BM5" s="438"/>
      <c r="BN5" s="439">
        <v>480</v>
      </c>
      <c r="BO5" s="440"/>
      <c r="BP5" s="439">
        <v>90</v>
      </c>
      <c r="BQ5" s="440"/>
      <c r="BR5" s="1470" t="s">
        <v>762</v>
      </c>
      <c r="BS5" s="441"/>
      <c r="BT5" s="1471" t="s">
        <v>779</v>
      </c>
      <c r="BU5" s="442"/>
      <c r="BV5" s="1472" t="s">
        <v>820</v>
      </c>
      <c r="BW5" s="443"/>
      <c r="BX5" s="1473" t="s">
        <v>818</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108</v>
      </c>
      <c r="DK5" s="433" t="s">
        <v>350</v>
      </c>
      <c r="DL5" s="434">
        <v>2.7</v>
      </c>
      <c r="DM5" s="435" t="s">
        <v>351</v>
      </c>
      <c r="DN5" s="436"/>
      <c r="DO5" s="437">
        <v>291.60000000000002</v>
      </c>
      <c r="DP5" s="438"/>
      <c r="DQ5" s="439">
        <v>480</v>
      </c>
      <c r="DR5" s="440"/>
      <c r="DS5" s="439">
        <v>90</v>
      </c>
      <c r="DT5" s="440"/>
      <c r="DU5" s="1470" t="s">
        <v>762</v>
      </c>
      <c r="DV5" s="441"/>
      <c r="DW5" s="1471" t="s">
        <v>779</v>
      </c>
      <c r="DX5" s="442"/>
      <c r="DY5" s="1472" t="s">
        <v>827</v>
      </c>
      <c r="DZ5" s="443"/>
      <c r="EA5" s="1473" t="s">
        <v>818</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108</v>
      </c>
      <c r="FN5" s="433" t="s">
        <v>350</v>
      </c>
      <c r="FO5" s="434">
        <v>2.7</v>
      </c>
      <c r="FP5" s="435" t="s">
        <v>351</v>
      </c>
      <c r="FQ5" s="436"/>
      <c r="FR5" s="437">
        <v>291.60000000000002</v>
      </c>
      <c r="FS5" s="438"/>
      <c r="FT5" s="439">
        <v>480</v>
      </c>
      <c r="FU5" s="440"/>
      <c r="FV5" s="439">
        <v>90</v>
      </c>
      <c r="FW5" s="440"/>
      <c r="FX5" s="1470" t="s">
        <v>828</v>
      </c>
      <c r="FY5" s="441"/>
      <c r="FZ5" s="1471" t="s">
        <v>829</v>
      </c>
      <c r="GA5" s="442"/>
      <c r="GB5" s="1472" t="s">
        <v>830</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272</v>
      </c>
      <c r="E9" s="522" t="s">
        <v>264</v>
      </c>
      <c r="F9" s="523" t="s">
        <v>265</v>
      </c>
      <c r="G9" s="524" t="s">
        <v>644</v>
      </c>
      <c r="H9" s="525" t="s">
        <v>267</v>
      </c>
      <c r="I9" s="526" t="s">
        <v>268</v>
      </c>
      <c r="J9" s="525" t="s">
        <v>267</v>
      </c>
      <c r="K9" s="526" t="s">
        <v>268</v>
      </c>
      <c r="L9" s="525" t="s">
        <v>267</v>
      </c>
      <c r="M9" s="526" t="s">
        <v>268</v>
      </c>
      <c r="N9" s="525" t="s">
        <v>267</v>
      </c>
      <c r="O9" s="526" t="s">
        <v>268</v>
      </c>
      <c r="P9" s="525" t="s">
        <v>267</v>
      </c>
      <c r="Q9" s="526" t="s">
        <v>268</v>
      </c>
      <c r="R9" s="525" t="s">
        <v>645</v>
      </c>
      <c r="S9" s="526" t="s">
        <v>268</v>
      </c>
      <c r="T9" s="525" t="s">
        <v>267</v>
      </c>
      <c r="U9" s="526" t="s">
        <v>268</v>
      </c>
      <c r="V9" s="525" t="s">
        <v>267</v>
      </c>
      <c r="W9" s="526" t="s">
        <v>268</v>
      </c>
      <c r="X9" s="525" t="s">
        <v>267</v>
      </c>
      <c r="Y9" s="526" t="s">
        <v>268</v>
      </c>
      <c r="Z9" s="525" t="s">
        <v>267</v>
      </c>
      <c r="AA9" s="526" t="s">
        <v>268</v>
      </c>
      <c r="AB9" s="525" t="s">
        <v>267</v>
      </c>
      <c r="AC9" s="526" t="s">
        <v>268</v>
      </c>
      <c r="AD9" s="525" t="s">
        <v>270</v>
      </c>
      <c r="AE9" s="526" t="s">
        <v>268</v>
      </c>
      <c r="AF9" s="525" t="s">
        <v>267</v>
      </c>
      <c r="AG9" s="526" t="s">
        <v>268</v>
      </c>
      <c r="AH9" s="525" t="s">
        <v>267</v>
      </c>
      <c r="AI9" s="526" t="s">
        <v>268</v>
      </c>
      <c r="AJ9" s="525" t="s">
        <v>267</v>
      </c>
      <c r="AK9" s="526" t="s">
        <v>268</v>
      </c>
      <c r="AL9" s="525" t="s">
        <v>267</v>
      </c>
      <c r="AM9" s="526" t="s">
        <v>268</v>
      </c>
      <c r="AN9" s="525" t="s">
        <v>267</v>
      </c>
      <c r="AO9" s="526" t="s">
        <v>268</v>
      </c>
      <c r="AP9" s="525" t="s">
        <v>267</v>
      </c>
      <c r="AQ9" s="526" t="s">
        <v>268</v>
      </c>
      <c r="AR9" s="525" t="s">
        <v>267</v>
      </c>
      <c r="AS9" s="526" t="s">
        <v>268</v>
      </c>
      <c r="AT9" s="525" t="s">
        <v>267</v>
      </c>
      <c r="AU9" s="526" t="s">
        <v>268</v>
      </c>
      <c r="AV9" s="525" t="s">
        <v>267</v>
      </c>
      <c r="AW9" s="526" t="s">
        <v>268</v>
      </c>
      <c r="AX9" s="525" t="s">
        <v>267</v>
      </c>
      <c r="AY9" s="526" t="s">
        <v>268</v>
      </c>
      <c r="AZ9" s="525" t="s">
        <v>267</v>
      </c>
      <c r="BA9" s="526" t="s">
        <v>268</v>
      </c>
      <c r="BB9" s="527" t="s">
        <v>271</v>
      </c>
      <c r="BC9" s="490"/>
      <c r="BD9" s="519" t="s">
        <v>260</v>
      </c>
      <c r="BE9" s="520" t="s">
        <v>261</v>
      </c>
      <c r="BF9" s="521" t="s">
        <v>262</v>
      </c>
      <c r="BG9" s="521" t="s">
        <v>272</v>
      </c>
      <c r="BH9" s="522" t="s">
        <v>264</v>
      </c>
      <c r="BI9" s="523" t="s">
        <v>265</v>
      </c>
      <c r="BJ9" s="524" t="s">
        <v>644</v>
      </c>
      <c r="BK9" s="525" t="s">
        <v>645</v>
      </c>
      <c r="BL9" s="526" t="s">
        <v>268</v>
      </c>
      <c r="BM9" s="525" t="s">
        <v>267</v>
      </c>
      <c r="BN9" s="526" t="s">
        <v>268</v>
      </c>
      <c r="BO9" s="525" t="s">
        <v>270</v>
      </c>
      <c r="BP9" s="526" t="s">
        <v>268</v>
      </c>
      <c r="BQ9" s="525" t="s">
        <v>267</v>
      </c>
      <c r="BR9" s="526" t="s">
        <v>268</v>
      </c>
      <c r="BS9" s="525" t="s">
        <v>267</v>
      </c>
      <c r="BT9" s="526" t="s">
        <v>268</v>
      </c>
      <c r="BU9" s="525" t="s">
        <v>267</v>
      </c>
      <c r="BV9" s="526" t="s">
        <v>268</v>
      </c>
      <c r="BW9" s="525" t="s">
        <v>267</v>
      </c>
      <c r="BX9" s="526" t="s">
        <v>268</v>
      </c>
      <c r="BY9" s="525" t="s">
        <v>267</v>
      </c>
      <c r="BZ9" s="526" t="s">
        <v>268</v>
      </c>
      <c r="CA9" s="525" t="s">
        <v>267</v>
      </c>
      <c r="CB9" s="526" t="s">
        <v>268</v>
      </c>
      <c r="CC9" s="525" t="s">
        <v>267</v>
      </c>
      <c r="CD9" s="526" t="s">
        <v>268</v>
      </c>
      <c r="CE9" s="525" t="s">
        <v>267</v>
      </c>
      <c r="CF9" s="526" t="s">
        <v>268</v>
      </c>
      <c r="CG9" s="525" t="s">
        <v>645</v>
      </c>
      <c r="CH9" s="526" t="s">
        <v>268</v>
      </c>
      <c r="CI9" s="525" t="s">
        <v>270</v>
      </c>
      <c r="CJ9" s="526" t="s">
        <v>268</v>
      </c>
      <c r="CK9" s="525" t="s">
        <v>267</v>
      </c>
      <c r="CL9" s="526" t="s">
        <v>268</v>
      </c>
      <c r="CM9" s="525" t="s">
        <v>270</v>
      </c>
      <c r="CN9" s="526" t="s">
        <v>268</v>
      </c>
      <c r="CO9" s="525" t="s">
        <v>267</v>
      </c>
      <c r="CP9" s="526" t="s">
        <v>268</v>
      </c>
      <c r="CQ9" s="525" t="s">
        <v>267</v>
      </c>
      <c r="CR9" s="526" t="s">
        <v>268</v>
      </c>
      <c r="CS9" s="525" t="s">
        <v>267</v>
      </c>
      <c r="CT9" s="526" t="s">
        <v>268</v>
      </c>
      <c r="CU9" s="525" t="s">
        <v>267</v>
      </c>
      <c r="CV9" s="526" t="s">
        <v>268</v>
      </c>
      <c r="CW9" s="525" t="s">
        <v>267</v>
      </c>
      <c r="CX9" s="526" t="s">
        <v>268</v>
      </c>
      <c r="CY9" s="525" t="s">
        <v>267</v>
      </c>
      <c r="CZ9" s="526" t="s">
        <v>268</v>
      </c>
      <c r="DA9" s="525" t="s">
        <v>267</v>
      </c>
      <c r="DB9" s="526" t="s">
        <v>268</v>
      </c>
      <c r="DC9" s="525" t="s">
        <v>270</v>
      </c>
      <c r="DD9" s="526" t="s">
        <v>268</v>
      </c>
      <c r="DE9" s="527" t="s">
        <v>271</v>
      </c>
      <c r="DF9" s="490"/>
      <c r="DG9" s="519" t="s">
        <v>260</v>
      </c>
      <c r="DH9" s="520" t="s">
        <v>261</v>
      </c>
      <c r="DI9" s="521" t="s">
        <v>262</v>
      </c>
      <c r="DJ9" s="521" t="s">
        <v>272</v>
      </c>
      <c r="DK9" s="522" t="s">
        <v>264</v>
      </c>
      <c r="DL9" s="523" t="s">
        <v>265</v>
      </c>
      <c r="DM9" s="524" t="s">
        <v>266</v>
      </c>
      <c r="DN9" s="525" t="s">
        <v>267</v>
      </c>
      <c r="DO9" s="526" t="s">
        <v>268</v>
      </c>
      <c r="DP9" s="525" t="s">
        <v>267</v>
      </c>
      <c r="DQ9" s="526" t="s">
        <v>268</v>
      </c>
      <c r="DR9" s="525" t="s">
        <v>267</v>
      </c>
      <c r="DS9" s="526" t="s">
        <v>268</v>
      </c>
      <c r="DT9" s="525" t="s">
        <v>267</v>
      </c>
      <c r="DU9" s="526" t="s">
        <v>268</v>
      </c>
      <c r="DV9" s="525" t="s">
        <v>267</v>
      </c>
      <c r="DW9" s="526" t="s">
        <v>268</v>
      </c>
      <c r="DX9" s="525" t="s">
        <v>270</v>
      </c>
      <c r="DY9" s="526" t="s">
        <v>268</v>
      </c>
      <c r="DZ9" s="525" t="s">
        <v>267</v>
      </c>
      <c r="EA9" s="526" t="s">
        <v>268</v>
      </c>
      <c r="EB9" s="525" t="s">
        <v>267</v>
      </c>
      <c r="EC9" s="526" t="s">
        <v>268</v>
      </c>
      <c r="ED9" s="525" t="s">
        <v>267</v>
      </c>
      <c r="EE9" s="526" t="s">
        <v>268</v>
      </c>
      <c r="EF9" s="525" t="s">
        <v>267</v>
      </c>
      <c r="EG9" s="526" t="s">
        <v>268</v>
      </c>
      <c r="EH9" s="525" t="s">
        <v>267</v>
      </c>
      <c r="EI9" s="526" t="s">
        <v>268</v>
      </c>
      <c r="EJ9" s="525" t="s">
        <v>645</v>
      </c>
      <c r="EK9" s="526" t="s">
        <v>268</v>
      </c>
      <c r="EL9" s="525" t="s">
        <v>267</v>
      </c>
      <c r="EM9" s="526" t="s">
        <v>268</v>
      </c>
      <c r="EN9" s="525" t="s">
        <v>267</v>
      </c>
      <c r="EO9" s="526" t="s">
        <v>268</v>
      </c>
      <c r="EP9" s="525" t="s">
        <v>267</v>
      </c>
      <c r="EQ9" s="526" t="s">
        <v>268</v>
      </c>
      <c r="ER9" s="525" t="s">
        <v>267</v>
      </c>
      <c r="ES9" s="526" t="s">
        <v>268</v>
      </c>
      <c r="ET9" s="525" t="s">
        <v>267</v>
      </c>
      <c r="EU9" s="526" t="s">
        <v>268</v>
      </c>
      <c r="EV9" s="525" t="s">
        <v>270</v>
      </c>
      <c r="EW9" s="526" t="s">
        <v>268</v>
      </c>
      <c r="EX9" s="525" t="s">
        <v>270</v>
      </c>
      <c r="EY9" s="526" t="s">
        <v>268</v>
      </c>
      <c r="EZ9" s="525" t="s">
        <v>267</v>
      </c>
      <c r="FA9" s="526" t="s">
        <v>268</v>
      </c>
      <c r="FB9" s="525" t="s">
        <v>645</v>
      </c>
      <c r="FC9" s="526" t="s">
        <v>268</v>
      </c>
      <c r="FD9" s="525" t="s">
        <v>267</v>
      </c>
      <c r="FE9" s="526" t="s">
        <v>268</v>
      </c>
      <c r="FF9" s="525" t="s">
        <v>270</v>
      </c>
      <c r="FG9" s="526" t="s">
        <v>268</v>
      </c>
      <c r="FH9" s="527" t="s">
        <v>271</v>
      </c>
      <c r="FI9" s="528"/>
      <c r="FJ9" s="529" t="s">
        <v>260</v>
      </c>
      <c r="FK9" s="520" t="s">
        <v>261</v>
      </c>
      <c r="FL9" s="521" t="s">
        <v>262</v>
      </c>
      <c r="FM9" s="521" t="s">
        <v>284</v>
      </c>
      <c r="FN9" s="522" t="s">
        <v>274</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73</v>
      </c>
      <c r="D10" s="542">
        <f>ROUND(22.05*0.85,2)</f>
        <v>18.739999999999998</v>
      </c>
      <c r="E10" s="540" t="s">
        <v>326</v>
      </c>
      <c r="F10" s="541" t="s">
        <v>197</v>
      </c>
      <c r="G10" s="543">
        <v>0</v>
      </c>
      <c r="H10" s="544">
        <f>ROUND(ROUND(22.05*0.85,2)*0.34*0,0)</f>
        <v>0</v>
      </c>
      <c r="I10" s="545">
        <v>0</v>
      </c>
      <c r="J10" s="546">
        <f>ROUND(ROUND(22.05*0.85,2)*0.34*0,0)</f>
        <v>0</v>
      </c>
      <c r="K10" s="547">
        <v>0</v>
      </c>
      <c r="L10" s="546">
        <f>ROUND(ROUND(22.05*0.85,2)*0.34*0,0)</f>
        <v>0</v>
      </c>
      <c r="M10" s="547">
        <v>0</v>
      </c>
      <c r="N10" s="546">
        <f>ROUND(ROUND(22.05*0.85,2)*0.34*0,0)</f>
        <v>0</v>
      </c>
      <c r="O10" s="547">
        <v>0</v>
      </c>
      <c r="P10" s="546">
        <f>ROUND(ROUND(22.05*0.85,2)*0.34*0,0)</f>
        <v>0</v>
      </c>
      <c r="Q10" s="547">
        <v>0</v>
      </c>
      <c r="R10" s="546">
        <f>ROUND(ROUND(22.05*0.85,2)*0.34*0,0)</f>
        <v>0</v>
      </c>
      <c r="S10" s="547">
        <v>0</v>
      </c>
      <c r="T10" s="546">
        <f>ROUND(ROUND(22.05*0.85,2)*0.34*0,0)</f>
        <v>0</v>
      </c>
      <c r="U10" s="547">
        <v>0</v>
      </c>
      <c r="V10" s="546">
        <f>ROUND(ROUND(22.05*0.85,2)*0.34*0,0)</f>
        <v>0</v>
      </c>
      <c r="W10" s="547">
        <v>86</v>
      </c>
      <c r="X10" s="546">
        <f>ROUND(ROUND(22.05*0.85,2)*0.34*86,0)</f>
        <v>548</v>
      </c>
      <c r="Y10" s="547">
        <v>93</v>
      </c>
      <c r="Z10" s="546">
        <f>ROUND(ROUND(22.05*0.85,2)*0.34*93,0)</f>
        <v>593</v>
      </c>
      <c r="AA10" s="547">
        <v>95</v>
      </c>
      <c r="AB10" s="546">
        <f>ROUND(ROUND(22.05*0.85,2)*0.34*95,0)</f>
        <v>605</v>
      </c>
      <c r="AC10" s="547">
        <v>94</v>
      </c>
      <c r="AD10" s="546">
        <f>ROUND(ROUND(22.05*0.85,2)*0.34*94,0)</f>
        <v>599</v>
      </c>
      <c r="AE10" s="547">
        <v>93</v>
      </c>
      <c r="AF10" s="546">
        <f>ROUND(ROUND(22.05*0.85,2)*0.34*93,0)</f>
        <v>593</v>
      </c>
      <c r="AG10" s="547">
        <v>90</v>
      </c>
      <c r="AH10" s="546">
        <f>ROUND(ROUND(22.05*0.85,2)*0.34*90,0)</f>
        <v>573</v>
      </c>
      <c r="AI10" s="547">
        <v>80</v>
      </c>
      <c r="AJ10" s="546">
        <f>ROUND(ROUND(22.05*0.85,2)*0.34*80,0)</f>
        <v>510</v>
      </c>
      <c r="AK10" s="547">
        <v>63</v>
      </c>
      <c r="AL10" s="546">
        <f>ROUND(ROUND(22.05*0.85,2)*0.34*63,0)</f>
        <v>401</v>
      </c>
      <c r="AM10" s="547">
        <v>62</v>
      </c>
      <c r="AN10" s="546">
        <f>ROUND(ROUND(22.05*0.85,2)*0.34*62,0)</f>
        <v>395</v>
      </c>
      <c r="AO10" s="547">
        <v>26</v>
      </c>
      <c r="AP10" s="546">
        <f>ROUND(ROUND(22.05*0.85,2)*0.34*26,0)</f>
        <v>166</v>
      </c>
      <c r="AQ10" s="547">
        <v>0</v>
      </c>
      <c r="AR10" s="546">
        <f>ROUND(ROUND(22.05*0.85,2)*0.34*0,0)</f>
        <v>0</v>
      </c>
      <c r="AS10" s="547">
        <v>0</v>
      </c>
      <c r="AT10" s="546">
        <f>ROUND(ROUND(22.05*0.85,2)*0.34*0,0)</f>
        <v>0</v>
      </c>
      <c r="AU10" s="547">
        <v>0</v>
      </c>
      <c r="AV10" s="546">
        <f>ROUND(ROUND(22.05*0.85,2)*0.34*0,0)</f>
        <v>0</v>
      </c>
      <c r="AW10" s="547">
        <v>0</v>
      </c>
      <c r="AX10" s="546">
        <f>ROUND(ROUND(22.05*0.85,2)*0.34*0,0)</f>
        <v>0</v>
      </c>
      <c r="AY10" s="547">
        <v>0</v>
      </c>
      <c r="AZ10" s="546">
        <f>ROUND(ROUND(22.05*0.85,2)*0.34*0,0)</f>
        <v>0</v>
      </c>
      <c r="BA10" s="547">
        <v>0</v>
      </c>
      <c r="BB10" s="548">
        <f>ROUND(ROUND(22.05*0.85,2)*0.34*0,0)</f>
        <v>0</v>
      </c>
      <c r="BC10" s="549"/>
      <c r="BD10" s="539"/>
      <c r="BE10" s="540"/>
      <c r="BF10" s="541"/>
      <c r="BG10" s="542"/>
      <c r="BH10" s="540"/>
      <c r="BI10" s="541"/>
      <c r="BJ10" s="543">
        <v>0</v>
      </c>
      <c r="BK10" s="544">
        <f>ROUND(ROUND(22.05*0.85,2)*0.34*0,0)</f>
        <v>0</v>
      </c>
      <c r="BL10" s="545">
        <v>0</v>
      </c>
      <c r="BM10" s="546">
        <f>ROUND(ROUND(22.05*0.85,2)*0.34*0,0)</f>
        <v>0</v>
      </c>
      <c r="BN10" s="547">
        <v>0</v>
      </c>
      <c r="BO10" s="546">
        <f>ROUND(ROUND(22.05*0.85,2)*0.34*0,0)</f>
        <v>0</v>
      </c>
      <c r="BP10" s="547">
        <v>0</v>
      </c>
      <c r="BQ10" s="546">
        <f>ROUND(ROUND(22.05*0.85,2)*0.34*0,0)</f>
        <v>0</v>
      </c>
      <c r="BR10" s="547">
        <v>0</v>
      </c>
      <c r="BS10" s="546">
        <f>ROUND(ROUND(22.05*0.85,2)*0.34*0,0)</f>
        <v>0</v>
      </c>
      <c r="BT10" s="547">
        <v>0</v>
      </c>
      <c r="BU10" s="546">
        <f>ROUND(ROUND(22.05*0.85,2)*0.34*0,0)</f>
        <v>0</v>
      </c>
      <c r="BV10" s="547">
        <v>0</v>
      </c>
      <c r="BW10" s="546">
        <f>ROUND(ROUND(22.05*0.85,2)*0.34*0,0)</f>
        <v>0</v>
      </c>
      <c r="BX10" s="547">
        <v>0</v>
      </c>
      <c r="BY10" s="546">
        <f>ROUND(ROUND(22.05*0.85,2)*0.34*0,0)</f>
        <v>0</v>
      </c>
      <c r="BZ10" s="547">
        <v>64</v>
      </c>
      <c r="CA10" s="546">
        <f>ROUND(ROUND(22.05*0.85,2)*0.34*64,0)</f>
        <v>408</v>
      </c>
      <c r="CB10" s="547">
        <v>64</v>
      </c>
      <c r="CC10" s="546">
        <f>ROUND(ROUND(22.05*0.85,2)*0.34*64,0)</f>
        <v>408</v>
      </c>
      <c r="CD10" s="547">
        <v>61</v>
      </c>
      <c r="CE10" s="546">
        <f>ROUND(ROUND(22.05*0.85,2)*0.34*61,0)</f>
        <v>389</v>
      </c>
      <c r="CF10" s="547">
        <v>59</v>
      </c>
      <c r="CG10" s="546">
        <f>ROUND(ROUND(22.05*0.85,2)*0.34*59,0)</f>
        <v>376</v>
      </c>
      <c r="CH10" s="547">
        <v>63</v>
      </c>
      <c r="CI10" s="546">
        <f>ROUND(ROUND(22.05*0.85,2)*0.34*63,0)</f>
        <v>401</v>
      </c>
      <c r="CJ10" s="547">
        <v>65</v>
      </c>
      <c r="CK10" s="546">
        <f>ROUND(ROUND(22.05*0.85,2)*0.34*65,0)</f>
        <v>414</v>
      </c>
      <c r="CL10" s="547">
        <v>63</v>
      </c>
      <c r="CM10" s="546">
        <f>ROUND(ROUND(22.05*0.85,2)*0.34*63,0)</f>
        <v>401</v>
      </c>
      <c r="CN10" s="547">
        <v>51</v>
      </c>
      <c r="CO10" s="546">
        <f>ROUND(ROUND(22.05*0.85,2)*0.34*51,0)</f>
        <v>325</v>
      </c>
      <c r="CP10" s="547">
        <v>92</v>
      </c>
      <c r="CQ10" s="546">
        <f>ROUND(ROUND(22.05*0.85,2)*0.34*92,0)</f>
        <v>586</v>
      </c>
      <c r="CR10" s="547">
        <v>81</v>
      </c>
      <c r="CS10" s="546">
        <f>ROUND(ROUND(22.05*0.85,2)*0.34*81,0)</f>
        <v>516</v>
      </c>
      <c r="CT10" s="547">
        <v>0</v>
      </c>
      <c r="CU10" s="546">
        <f>ROUND(ROUND(22.05*0.85,2)*0.34*0,0)</f>
        <v>0</v>
      </c>
      <c r="CV10" s="547">
        <v>0</v>
      </c>
      <c r="CW10" s="546">
        <f>ROUND(ROUND(22.05*0.85,2)*0.34*0,0)</f>
        <v>0</v>
      </c>
      <c r="CX10" s="547">
        <v>0</v>
      </c>
      <c r="CY10" s="546">
        <f>ROUND(ROUND(22.05*0.85,2)*0.34*0,0)</f>
        <v>0</v>
      </c>
      <c r="CZ10" s="547">
        <v>0</v>
      </c>
      <c r="DA10" s="546">
        <f>ROUND(ROUND(22.05*0.85,2)*0.34*0,0)</f>
        <v>0</v>
      </c>
      <c r="DB10" s="547">
        <v>0</v>
      </c>
      <c r="DC10" s="546">
        <f>ROUND(ROUND(22.05*0.85,2)*0.34*0,0)</f>
        <v>0</v>
      </c>
      <c r="DD10" s="547">
        <v>0</v>
      </c>
      <c r="DE10" s="548">
        <f>ROUND(ROUND(22.05*0.85,2)*0.34*0,0)</f>
        <v>0</v>
      </c>
      <c r="DF10" s="549"/>
      <c r="DG10" s="539"/>
      <c r="DH10" s="540"/>
      <c r="DI10" s="541"/>
      <c r="DJ10" s="542"/>
      <c r="DK10" s="540"/>
      <c r="DL10" s="541"/>
      <c r="DM10" s="543">
        <v>0</v>
      </c>
      <c r="DN10" s="544">
        <f>ROUND(ROUND(22.05*0.85,2)*0.34*0,0)</f>
        <v>0</v>
      </c>
      <c r="DO10" s="545">
        <v>0</v>
      </c>
      <c r="DP10" s="546">
        <f>ROUND(ROUND(22.05*0.85,2)*0.34*0,0)</f>
        <v>0</v>
      </c>
      <c r="DQ10" s="547">
        <v>0</v>
      </c>
      <c r="DR10" s="546">
        <f>ROUND(ROUND(22.05*0.85,2)*0.34*0,0)</f>
        <v>0</v>
      </c>
      <c r="DS10" s="547">
        <v>0</v>
      </c>
      <c r="DT10" s="546">
        <f>ROUND(ROUND(22.05*0.85,2)*0.34*0,0)</f>
        <v>0</v>
      </c>
      <c r="DU10" s="547">
        <v>0</v>
      </c>
      <c r="DV10" s="546">
        <f>ROUND(ROUND(22.05*0.85,2)*0.34*0,0)</f>
        <v>0</v>
      </c>
      <c r="DW10" s="547">
        <v>0</v>
      </c>
      <c r="DX10" s="546">
        <f>ROUND(ROUND(22.05*0.85,2)*0.34*0,0)</f>
        <v>0</v>
      </c>
      <c r="DY10" s="547">
        <v>0</v>
      </c>
      <c r="DZ10" s="546">
        <f>ROUND(ROUND(22.05*0.85,2)*0.34*0,0)</f>
        <v>0</v>
      </c>
      <c r="EA10" s="547">
        <v>0</v>
      </c>
      <c r="EB10" s="546">
        <f>ROUND(ROUND(22.05*0.85,2)*0.34*0,0)</f>
        <v>0</v>
      </c>
      <c r="EC10" s="547">
        <v>55</v>
      </c>
      <c r="ED10" s="546">
        <f>ROUND(ROUND(22.05*0.85,2)*0.34*55,0)</f>
        <v>350</v>
      </c>
      <c r="EE10" s="547">
        <v>56</v>
      </c>
      <c r="EF10" s="546">
        <f>ROUND(ROUND(22.05*0.85,2)*0.34*56,0)</f>
        <v>357</v>
      </c>
      <c r="EG10" s="547">
        <v>57</v>
      </c>
      <c r="EH10" s="546">
        <f>ROUND(ROUND(22.05*0.85,2)*0.34*57,0)</f>
        <v>363</v>
      </c>
      <c r="EI10" s="547">
        <v>56</v>
      </c>
      <c r="EJ10" s="546">
        <f>ROUND(ROUND(22.05*0.85,2)*0.34*56,0)</f>
        <v>357</v>
      </c>
      <c r="EK10" s="547">
        <v>57</v>
      </c>
      <c r="EL10" s="546">
        <f>ROUND(ROUND(22.05*0.85,2)*0.34*57,0)</f>
        <v>363</v>
      </c>
      <c r="EM10" s="547">
        <v>56</v>
      </c>
      <c r="EN10" s="546">
        <f>ROUND(ROUND(22.05*0.85,2)*0.34*56,0)</f>
        <v>357</v>
      </c>
      <c r="EO10" s="547">
        <v>51</v>
      </c>
      <c r="EP10" s="546">
        <f>ROUND(ROUND(22.05*0.85,2)*0.34*51,0)</f>
        <v>325</v>
      </c>
      <c r="EQ10" s="547">
        <v>39</v>
      </c>
      <c r="ER10" s="546">
        <f>ROUND(ROUND(22.05*0.85,2)*0.34*39,0)</f>
        <v>248</v>
      </c>
      <c r="ES10" s="547">
        <v>19</v>
      </c>
      <c r="ET10" s="546">
        <f>ROUND(ROUND(22.05*0.85,2)*0.34*19,0)</f>
        <v>121</v>
      </c>
      <c r="EU10" s="547">
        <v>2</v>
      </c>
      <c r="EV10" s="546">
        <f>ROUND(ROUND(22.05*0.85,2)*0.34*2,0)</f>
        <v>13</v>
      </c>
      <c r="EW10" s="547">
        <v>0</v>
      </c>
      <c r="EX10" s="546">
        <f>ROUND(ROUND(22.05*0.85,2)*0.34*0,0)</f>
        <v>0</v>
      </c>
      <c r="EY10" s="547">
        <v>0</v>
      </c>
      <c r="EZ10" s="546">
        <f>ROUND(ROUND(22.05*0.85,2)*0.34*0,0)</f>
        <v>0</v>
      </c>
      <c r="FA10" s="547">
        <v>0</v>
      </c>
      <c r="FB10" s="546">
        <f>ROUND(ROUND(22.05*0.85,2)*0.34*0,0)</f>
        <v>0</v>
      </c>
      <c r="FC10" s="547">
        <v>0</v>
      </c>
      <c r="FD10" s="546">
        <f>ROUND(ROUND(22.05*0.85,2)*0.34*0,0)</f>
        <v>0</v>
      </c>
      <c r="FE10" s="547">
        <v>0</v>
      </c>
      <c r="FF10" s="546">
        <f>ROUND(ROUND(22.05*0.85,2)*0.34*0,0)</f>
        <v>0</v>
      </c>
      <c r="FG10" s="547">
        <v>0</v>
      </c>
      <c r="FH10" s="548">
        <f>ROUND(ROUND(22.05*0.85,2)*0.34*0,0)</f>
        <v>0</v>
      </c>
      <c r="FI10" s="550"/>
      <c r="FJ10" s="551"/>
      <c r="FK10" s="540"/>
      <c r="FL10" s="541"/>
      <c r="FM10" s="542"/>
      <c r="FN10" s="540"/>
      <c r="FO10" s="541"/>
      <c r="FP10" s="552"/>
      <c r="FQ10" s="545"/>
      <c r="FR10" s="544" t="s">
        <v>275</v>
      </c>
      <c r="FS10" s="553"/>
      <c r="FT10" s="545"/>
      <c r="FU10" s="554" t="s">
        <v>275</v>
      </c>
      <c r="FV10" s="1255" t="s">
        <v>276</v>
      </c>
      <c r="FW10" s="1282"/>
      <c r="FX10" s="1283" t="s">
        <v>277</v>
      </c>
      <c r="FY10" s="1284"/>
      <c r="FZ10" s="1285" t="s">
        <v>278</v>
      </c>
      <c r="GA10" s="1286"/>
      <c r="GB10" s="1287" t="s">
        <v>651</v>
      </c>
      <c r="GC10" s="1288"/>
      <c r="GD10" s="563" t="s">
        <v>652</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275</v>
      </c>
      <c r="FS11" s="578"/>
      <c r="FT11" s="573"/>
      <c r="FU11" s="579" t="s">
        <v>494</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494</v>
      </c>
      <c r="FS12" s="578"/>
      <c r="FT12" s="573"/>
      <c r="FU12" s="579" t="s">
        <v>275</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275</v>
      </c>
      <c r="FS13" s="613"/>
      <c r="FT13" s="608"/>
      <c r="FU13" s="614" t="s">
        <v>275</v>
      </c>
      <c r="FV13" s="580"/>
      <c r="FW13" s="581"/>
      <c r="FX13" s="582"/>
      <c r="FY13" s="583"/>
      <c r="FZ13" s="584"/>
      <c r="GA13" s="585"/>
      <c r="GB13" s="586"/>
      <c r="GC13" s="587"/>
      <c r="GD13" s="586"/>
      <c r="GE13" s="588"/>
      <c r="GF13" s="486"/>
      <c r="GG13" s="589"/>
      <c r="GH13" s="589"/>
      <c r="GI13" s="589"/>
      <c r="GJ13" s="404"/>
      <c r="GK13" s="615">
        <v>208</v>
      </c>
      <c r="GL13" s="616"/>
      <c r="GM13" s="617" t="s">
        <v>431</v>
      </c>
      <c r="GN13" s="618">
        <v>22.05</v>
      </c>
      <c r="GO13" s="619">
        <v>0</v>
      </c>
      <c r="GP13" s="619">
        <v>1</v>
      </c>
      <c r="GQ13" s="620">
        <v>0</v>
      </c>
      <c r="GR13" s="621">
        <v>22.05</v>
      </c>
      <c r="GS13" s="565"/>
      <c r="GT13" s="404"/>
      <c r="GU13" s="615">
        <v>208</v>
      </c>
      <c r="GV13" s="616"/>
      <c r="GW13" s="622" t="s">
        <v>640</v>
      </c>
      <c r="GX13" s="623">
        <v>22.05</v>
      </c>
      <c r="GY13" s="624"/>
      <c r="GZ13" s="625">
        <v>0</v>
      </c>
      <c r="HA13" s="626">
        <v>0</v>
      </c>
      <c r="HB13" s="627"/>
      <c r="HC13" s="517"/>
      <c r="HD13" s="782"/>
      <c r="HE13" s="428"/>
      <c r="HF13" s="377"/>
      <c r="HG13" s="377"/>
    </row>
    <row r="14" spans="1:353" ht="20.100000000000001" customHeight="1">
      <c r="A14" s="628"/>
      <c r="B14" s="629"/>
      <c r="C14" s="629"/>
      <c r="D14" s="630" t="s">
        <v>280</v>
      </c>
      <c r="E14" s="629"/>
      <c r="F14" s="629"/>
      <c r="G14" s="1263"/>
      <c r="H14" s="1264">
        <f>SUM(H10:H13)</f>
        <v>0</v>
      </c>
      <c r="I14" s="1271"/>
      <c r="J14" s="1264">
        <f>SUM(J10:J13)</f>
        <v>0</v>
      </c>
      <c r="K14" s="1271"/>
      <c r="L14" s="1264">
        <f>SUM(L10:L13)</f>
        <v>0</v>
      </c>
      <c r="M14" s="1271"/>
      <c r="N14" s="1264">
        <f>SUM(N10:N13)</f>
        <v>0</v>
      </c>
      <c r="O14" s="1271"/>
      <c r="P14" s="1264">
        <f>SUM(P10:P13)</f>
        <v>0</v>
      </c>
      <c r="Q14" s="1271"/>
      <c r="R14" s="1264">
        <f>SUM(R10:R13)</f>
        <v>0</v>
      </c>
      <c r="S14" s="1271"/>
      <c r="T14" s="1264">
        <f>SUM(T10:T13)</f>
        <v>0</v>
      </c>
      <c r="U14" s="1271"/>
      <c r="V14" s="1264">
        <f>SUM(V10:V13)</f>
        <v>0</v>
      </c>
      <c r="W14" s="1271"/>
      <c r="X14" s="1264">
        <f>SUM(X10:X13)</f>
        <v>548</v>
      </c>
      <c r="Y14" s="1271"/>
      <c r="Z14" s="1264">
        <f>SUM(Z10:Z13)</f>
        <v>593</v>
      </c>
      <c r="AA14" s="1271"/>
      <c r="AB14" s="1264">
        <f>SUM(AB10:AB13)</f>
        <v>605</v>
      </c>
      <c r="AC14" s="1271"/>
      <c r="AD14" s="1264">
        <f>SUM(AD10:AD13)</f>
        <v>599</v>
      </c>
      <c r="AE14" s="1271"/>
      <c r="AF14" s="1264">
        <f>SUM(AF10:AF13)</f>
        <v>593</v>
      </c>
      <c r="AG14" s="1271"/>
      <c r="AH14" s="1264">
        <f>SUM(AH10:AH13)</f>
        <v>573</v>
      </c>
      <c r="AI14" s="1271"/>
      <c r="AJ14" s="1264">
        <f>SUM(AJ10:AJ13)</f>
        <v>510</v>
      </c>
      <c r="AK14" s="1271"/>
      <c r="AL14" s="1264">
        <f>SUM(AL10:AL13)</f>
        <v>401</v>
      </c>
      <c r="AM14" s="1271"/>
      <c r="AN14" s="1264">
        <f>SUM(AN10:AN13)</f>
        <v>395</v>
      </c>
      <c r="AO14" s="1271"/>
      <c r="AP14" s="1264">
        <f>SUM(AP10:AP13)</f>
        <v>166</v>
      </c>
      <c r="AQ14" s="1271"/>
      <c r="AR14" s="1264">
        <f>SUM(AR10:AR13)</f>
        <v>0</v>
      </c>
      <c r="AS14" s="1271"/>
      <c r="AT14" s="1264">
        <f>SUM(AT10:AT13)</f>
        <v>0</v>
      </c>
      <c r="AU14" s="1271"/>
      <c r="AV14" s="1264">
        <f>SUM(AV10:AV13)</f>
        <v>0</v>
      </c>
      <c r="AW14" s="1271"/>
      <c r="AX14" s="1264">
        <f>SUM(AX10:AX13)</f>
        <v>0</v>
      </c>
      <c r="AY14" s="1271"/>
      <c r="AZ14" s="1264">
        <f>SUM(AZ10:AZ13)</f>
        <v>0</v>
      </c>
      <c r="BA14" s="1271"/>
      <c r="BB14" s="1266">
        <f>SUM(BB10:BB13)</f>
        <v>0</v>
      </c>
      <c r="BC14" s="635"/>
      <c r="BD14" s="628"/>
      <c r="BE14" s="629"/>
      <c r="BF14" s="629"/>
      <c r="BG14" s="630" t="s">
        <v>280</v>
      </c>
      <c r="BH14" s="629"/>
      <c r="BI14" s="629"/>
      <c r="BJ14" s="1263"/>
      <c r="BK14" s="1264">
        <f>SUM(BK10:BK13)</f>
        <v>0</v>
      </c>
      <c r="BL14" s="1271"/>
      <c r="BM14" s="1264">
        <f>SUM(BM10:BM13)</f>
        <v>0</v>
      </c>
      <c r="BN14" s="1271"/>
      <c r="BO14" s="1264">
        <f>SUM(BO10:BO13)</f>
        <v>0</v>
      </c>
      <c r="BP14" s="1271"/>
      <c r="BQ14" s="1264">
        <f>SUM(BQ10:BQ13)</f>
        <v>0</v>
      </c>
      <c r="BR14" s="1271"/>
      <c r="BS14" s="1264">
        <f>SUM(BS10:BS13)</f>
        <v>0</v>
      </c>
      <c r="BT14" s="1271"/>
      <c r="BU14" s="1264">
        <f>SUM(BU10:BU13)</f>
        <v>0</v>
      </c>
      <c r="BV14" s="1271"/>
      <c r="BW14" s="1264">
        <f>SUM(BW10:BW13)</f>
        <v>0</v>
      </c>
      <c r="BX14" s="1271"/>
      <c r="BY14" s="1264">
        <f>SUM(BY10:BY13)</f>
        <v>0</v>
      </c>
      <c r="BZ14" s="1271"/>
      <c r="CA14" s="1264">
        <f>SUM(CA10:CA13)</f>
        <v>408</v>
      </c>
      <c r="CB14" s="1271"/>
      <c r="CC14" s="1264">
        <f>SUM(CC10:CC13)</f>
        <v>408</v>
      </c>
      <c r="CD14" s="1271"/>
      <c r="CE14" s="1264">
        <f>SUM(CE10:CE13)</f>
        <v>389</v>
      </c>
      <c r="CF14" s="1271"/>
      <c r="CG14" s="1264">
        <f>SUM(CG10:CG13)</f>
        <v>376</v>
      </c>
      <c r="CH14" s="1271"/>
      <c r="CI14" s="1264">
        <f>SUM(CI10:CI13)</f>
        <v>401</v>
      </c>
      <c r="CJ14" s="1271"/>
      <c r="CK14" s="1264">
        <f>SUM(CK10:CK13)</f>
        <v>414</v>
      </c>
      <c r="CL14" s="1271"/>
      <c r="CM14" s="1264">
        <f>SUM(CM10:CM13)</f>
        <v>401</v>
      </c>
      <c r="CN14" s="1271"/>
      <c r="CO14" s="1264">
        <f>SUM(CO10:CO13)</f>
        <v>325</v>
      </c>
      <c r="CP14" s="1271"/>
      <c r="CQ14" s="1264">
        <f>SUM(CQ10:CQ13)</f>
        <v>586</v>
      </c>
      <c r="CR14" s="1271"/>
      <c r="CS14" s="1264">
        <f>SUM(CS10:CS13)</f>
        <v>516</v>
      </c>
      <c r="CT14" s="1271"/>
      <c r="CU14" s="1264">
        <f>SUM(CU10:CU13)</f>
        <v>0</v>
      </c>
      <c r="CV14" s="1271"/>
      <c r="CW14" s="1264">
        <f>SUM(CW10:CW13)</f>
        <v>0</v>
      </c>
      <c r="CX14" s="1271"/>
      <c r="CY14" s="1264">
        <f>SUM(CY10:CY13)</f>
        <v>0</v>
      </c>
      <c r="CZ14" s="1271"/>
      <c r="DA14" s="1264">
        <f>SUM(DA10:DA13)</f>
        <v>0</v>
      </c>
      <c r="DB14" s="1271"/>
      <c r="DC14" s="1264">
        <f>SUM(DC10:DC13)</f>
        <v>0</v>
      </c>
      <c r="DD14" s="1271"/>
      <c r="DE14" s="1266">
        <f>SUM(DE10:DE13)</f>
        <v>0</v>
      </c>
      <c r="DF14" s="635"/>
      <c r="DG14" s="628"/>
      <c r="DH14" s="629"/>
      <c r="DI14" s="629"/>
      <c r="DJ14" s="630" t="s">
        <v>280</v>
      </c>
      <c r="DK14" s="629"/>
      <c r="DL14" s="629"/>
      <c r="DM14" s="1263"/>
      <c r="DN14" s="1264">
        <f>SUM(DN10:DN13)</f>
        <v>0</v>
      </c>
      <c r="DO14" s="1271"/>
      <c r="DP14" s="1264">
        <f>SUM(DP10:DP13)</f>
        <v>0</v>
      </c>
      <c r="DQ14" s="1271"/>
      <c r="DR14" s="1264">
        <f>SUM(DR10:DR13)</f>
        <v>0</v>
      </c>
      <c r="DS14" s="1271"/>
      <c r="DT14" s="1264">
        <f>SUM(DT10:DT13)</f>
        <v>0</v>
      </c>
      <c r="DU14" s="1271"/>
      <c r="DV14" s="1264">
        <f>SUM(DV10:DV13)</f>
        <v>0</v>
      </c>
      <c r="DW14" s="1271"/>
      <c r="DX14" s="1264">
        <f>SUM(DX10:DX13)</f>
        <v>0</v>
      </c>
      <c r="DY14" s="1271"/>
      <c r="DZ14" s="1264">
        <f>SUM(DZ10:DZ13)</f>
        <v>0</v>
      </c>
      <c r="EA14" s="1271"/>
      <c r="EB14" s="1264">
        <f>SUM(EB10:EB13)</f>
        <v>0</v>
      </c>
      <c r="EC14" s="1271"/>
      <c r="ED14" s="1264">
        <f>SUM(ED10:ED13)</f>
        <v>350</v>
      </c>
      <c r="EE14" s="1271"/>
      <c r="EF14" s="1264">
        <f>SUM(EF10:EF13)</f>
        <v>357</v>
      </c>
      <c r="EG14" s="1271"/>
      <c r="EH14" s="1264">
        <f>SUM(EH10:EH13)</f>
        <v>363</v>
      </c>
      <c r="EI14" s="1271"/>
      <c r="EJ14" s="1264">
        <f>SUM(EJ10:EJ13)</f>
        <v>357</v>
      </c>
      <c r="EK14" s="1271"/>
      <c r="EL14" s="1264">
        <f>SUM(EL10:EL13)</f>
        <v>363</v>
      </c>
      <c r="EM14" s="1271"/>
      <c r="EN14" s="1264">
        <f>SUM(EN10:EN13)</f>
        <v>357</v>
      </c>
      <c r="EO14" s="1271"/>
      <c r="EP14" s="1264">
        <f>SUM(EP10:EP13)</f>
        <v>325</v>
      </c>
      <c r="EQ14" s="1271"/>
      <c r="ER14" s="1264">
        <f>SUM(ER10:ER13)</f>
        <v>248</v>
      </c>
      <c r="ES14" s="1271"/>
      <c r="ET14" s="1264">
        <f>SUM(ET10:ET13)</f>
        <v>121</v>
      </c>
      <c r="EU14" s="1271"/>
      <c r="EV14" s="1264">
        <f>SUM(EV10:EV13)</f>
        <v>13</v>
      </c>
      <c r="EW14" s="1271"/>
      <c r="EX14" s="1264">
        <f>SUM(EX10:EX13)</f>
        <v>0</v>
      </c>
      <c r="EY14" s="1271"/>
      <c r="EZ14" s="1264">
        <f>SUM(EZ10:EZ13)</f>
        <v>0</v>
      </c>
      <c r="FA14" s="1271"/>
      <c r="FB14" s="1264">
        <f>SUM(FB10:FB13)</f>
        <v>0</v>
      </c>
      <c r="FC14" s="1271"/>
      <c r="FD14" s="1264">
        <f>SUM(FD10:FD13)</f>
        <v>0</v>
      </c>
      <c r="FE14" s="1271"/>
      <c r="FF14" s="1264">
        <f>SUM(FF10:FF13)</f>
        <v>0</v>
      </c>
      <c r="FG14" s="1271"/>
      <c r="FH14" s="1266">
        <f>SUM(FH10:FH13)</f>
        <v>0</v>
      </c>
      <c r="FI14" s="636"/>
      <c r="FJ14" s="551"/>
      <c r="FK14" s="629"/>
      <c r="FL14" s="629"/>
      <c r="FM14" s="630" t="s">
        <v>529</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499</v>
      </c>
      <c r="E15" s="647" t="s">
        <v>285</v>
      </c>
      <c r="F15" s="648" t="s">
        <v>104</v>
      </c>
      <c r="G15" s="649" t="s">
        <v>503</v>
      </c>
      <c r="H15" s="650" t="s">
        <v>532</v>
      </c>
      <c r="I15" s="651" t="s">
        <v>288</v>
      </c>
      <c r="J15" s="650" t="s">
        <v>532</v>
      </c>
      <c r="K15" s="651" t="s">
        <v>288</v>
      </c>
      <c r="L15" s="650" t="s">
        <v>532</v>
      </c>
      <c r="M15" s="651" t="s">
        <v>288</v>
      </c>
      <c r="N15" s="650" t="s">
        <v>289</v>
      </c>
      <c r="O15" s="651" t="s">
        <v>288</v>
      </c>
      <c r="P15" s="650" t="s">
        <v>289</v>
      </c>
      <c r="Q15" s="651" t="s">
        <v>288</v>
      </c>
      <c r="R15" s="650" t="s">
        <v>502</v>
      </c>
      <c r="S15" s="651" t="s">
        <v>288</v>
      </c>
      <c r="T15" s="650" t="s">
        <v>646</v>
      </c>
      <c r="U15" s="651" t="s">
        <v>288</v>
      </c>
      <c r="V15" s="650" t="s">
        <v>289</v>
      </c>
      <c r="W15" s="651" t="s">
        <v>288</v>
      </c>
      <c r="X15" s="650" t="s">
        <v>502</v>
      </c>
      <c r="Y15" s="651" t="s">
        <v>288</v>
      </c>
      <c r="Z15" s="650" t="s">
        <v>502</v>
      </c>
      <c r="AA15" s="651" t="s">
        <v>288</v>
      </c>
      <c r="AB15" s="650" t="s">
        <v>502</v>
      </c>
      <c r="AC15" s="651" t="s">
        <v>288</v>
      </c>
      <c r="AD15" s="650" t="s">
        <v>289</v>
      </c>
      <c r="AE15" s="651" t="s">
        <v>288</v>
      </c>
      <c r="AF15" s="650" t="s">
        <v>502</v>
      </c>
      <c r="AG15" s="651" t="s">
        <v>288</v>
      </c>
      <c r="AH15" s="650" t="s">
        <v>289</v>
      </c>
      <c r="AI15" s="651" t="s">
        <v>288</v>
      </c>
      <c r="AJ15" s="650" t="s">
        <v>289</v>
      </c>
      <c r="AK15" s="651" t="s">
        <v>288</v>
      </c>
      <c r="AL15" s="650" t="s">
        <v>502</v>
      </c>
      <c r="AM15" s="651" t="s">
        <v>288</v>
      </c>
      <c r="AN15" s="650" t="s">
        <v>289</v>
      </c>
      <c r="AO15" s="651" t="s">
        <v>288</v>
      </c>
      <c r="AP15" s="650" t="s">
        <v>532</v>
      </c>
      <c r="AQ15" s="651" t="s">
        <v>288</v>
      </c>
      <c r="AR15" s="650" t="s">
        <v>532</v>
      </c>
      <c r="AS15" s="651" t="s">
        <v>288</v>
      </c>
      <c r="AT15" s="650" t="s">
        <v>289</v>
      </c>
      <c r="AU15" s="651" t="s">
        <v>288</v>
      </c>
      <c r="AV15" s="650" t="s">
        <v>502</v>
      </c>
      <c r="AW15" s="651" t="s">
        <v>288</v>
      </c>
      <c r="AX15" s="650" t="s">
        <v>289</v>
      </c>
      <c r="AY15" s="651" t="s">
        <v>288</v>
      </c>
      <c r="AZ15" s="650" t="s">
        <v>289</v>
      </c>
      <c r="BA15" s="651" t="s">
        <v>288</v>
      </c>
      <c r="BB15" s="652" t="s">
        <v>291</v>
      </c>
      <c r="BC15" s="653"/>
      <c r="BD15" s="519" t="s">
        <v>283</v>
      </c>
      <c r="BE15" s="645" t="s">
        <v>261</v>
      </c>
      <c r="BF15" s="646" t="s">
        <v>262</v>
      </c>
      <c r="BG15" s="647" t="s">
        <v>272</v>
      </c>
      <c r="BH15" s="647" t="s">
        <v>285</v>
      </c>
      <c r="BI15" s="648" t="s">
        <v>104</v>
      </c>
      <c r="BJ15" s="649" t="s">
        <v>503</v>
      </c>
      <c r="BK15" s="650" t="s">
        <v>647</v>
      </c>
      <c r="BL15" s="651" t="s">
        <v>288</v>
      </c>
      <c r="BM15" s="650" t="s">
        <v>646</v>
      </c>
      <c r="BN15" s="651" t="s">
        <v>288</v>
      </c>
      <c r="BO15" s="650" t="s">
        <v>289</v>
      </c>
      <c r="BP15" s="651" t="s">
        <v>288</v>
      </c>
      <c r="BQ15" s="650" t="s">
        <v>532</v>
      </c>
      <c r="BR15" s="651" t="s">
        <v>288</v>
      </c>
      <c r="BS15" s="650" t="s">
        <v>289</v>
      </c>
      <c r="BT15" s="651" t="s">
        <v>288</v>
      </c>
      <c r="BU15" s="650" t="s">
        <v>502</v>
      </c>
      <c r="BV15" s="651" t="s">
        <v>288</v>
      </c>
      <c r="BW15" s="650" t="s">
        <v>289</v>
      </c>
      <c r="BX15" s="651" t="s">
        <v>288</v>
      </c>
      <c r="BY15" s="650" t="s">
        <v>289</v>
      </c>
      <c r="BZ15" s="651" t="s">
        <v>288</v>
      </c>
      <c r="CA15" s="650" t="s">
        <v>289</v>
      </c>
      <c r="CB15" s="651" t="s">
        <v>288</v>
      </c>
      <c r="CC15" s="650" t="s">
        <v>289</v>
      </c>
      <c r="CD15" s="651" t="s">
        <v>288</v>
      </c>
      <c r="CE15" s="650" t="s">
        <v>502</v>
      </c>
      <c r="CF15" s="651" t="s">
        <v>288</v>
      </c>
      <c r="CG15" s="650" t="s">
        <v>532</v>
      </c>
      <c r="CH15" s="651" t="s">
        <v>288</v>
      </c>
      <c r="CI15" s="650" t="s">
        <v>502</v>
      </c>
      <c r="CJ15" s="651" t="s">
        <v>288</v>
      </c>
      <c r="CK15" s="650" t="s">
        <v>289</v>
      </c>
      <c r="CL15" s="651" t="s">
        <v>288</v>
      </c>
      <c r="CM15" s="650" t="s">
        <v>646</v>
      </c>
      <c r="CN15" s="651" t="s">
        <v>288</v>
      </c>
      <c r="CO15" s="650" t="s">
        <v>289</v>
      </c>
      <c r="CP15" s="651" t="s">
        <v>288</v>
      </c>
      <c r="CQ15" s="650" t="s">
        <v>532</v>
      </c>
      <c r="CR15" s="651" t="s">
        <v>288</v>
      </c>
      <c r="CS15" s="650" t="s">
        <v>502</v>
      </c>
      <c r="CT15" s="651" t="s">
        <v>288</v>
      </c>
      <c r="CU15" s="650" t="s">
        <v>532</v>
      </c>
      <c r="CV15" s="651" t="s">
        <v>288</v>
      </c>
      <c r="CW15" s="650" t="s">
        <v>647</v>
      </c>
      <c r="CX15" s="651" t="s">
        <v>288</v>
      </c>
      <c r="CY15" s="650" t="s">
        <v>502</v>
      </c>
      <c r="CZ15" s="651" t="s">
        <v>288</v>
      </c>
      <c r="DA15" s="650" t="s">
        <v>289</v>
      </c>
      <c r="DB15" s="651" t="s">
        <v>288</v>
      </c>
      <c r="DC15" s="650" t="s">
        <v>289</v>
      </c>
      <c r="DD15" s="651" t="s">
        <v>288</v>
      </c>
      <c r="DE15" s="652" t="s">
        <v>291</v>
      </c>
      <c r="DF15" s="653"/>
      <c r="DG15" s="519" t="s">
        <v>283</v>
      </c>
      <c r="DH15" s="645" t="s">
        <v>261</v>
      </c>
      <c r="DI15" s="646" t="s">
        <v>262</v>
      </c>
      <c r="DJ15" s="647" t="s">
        <v>499</v>
      </c>
      <c r="DK15" s="647" t="s">
        <v>285</v>
      </c>
      <c r="DL15" s="648" t="s">
        <v>104</v>
      </c>
      <c r="DM15" s="649" t="s">
        <v>503</v>
      </c>
      <c r="DN15" s="650" t="s">
        <v>289</v>
      </c>
      <c r="DO15" s="651" t="s">
        <v>288</v>
      </c>
      <c r="DP15" s="650" t="s">
        <v>289</v>
      </c>
      <c r="DQ15" s="651" t="s">
        <v>288</v>
      </c>
      <c r="DR15" s="650" t="s">
        <v>647</v>
      </c>
      <c r="DS15" s="651" t="s">
        <v>288</v>
      </c>
      <c r="DT15" s="650" t="s">
        <v>646</v>
      </c>
      <c r="DU15" s="651" t="s">
        <v>288</v>
      </c>
      <c r="DV15" s="650" t="s">
        <v>532</v>
      </c>
      <c r="DW15" s="651" t="s">
        <v>288</v>
      </c>
      <c r="DX15" s="650" t="s">
        <v>647</v>
      </c>
      <c r="DY15" s="651" t="s">
        <v>288</v>
      </c>
      <c r="DZ15" s="650" t="s">
        <v>289</v>
      </c>
      <c r="EA15" s="651" t="s">
        <v>288</v>
      </c>
      <c r="EB15" s="650" t="s">
        <v>532</v>
      </c>
      <c r="EC15" s="651" t="s">
        <v>288</v>
      </c>
      <c r="ED15" s="650" t="s">
        <v>289</v>
      </c>
      <c r="EE15" s="651" t="s">
        <v>288</v>
      </c>
      <c r="EF15" s="650" t="s">
        <v>289</v>
      </c>
      <c r="EG15" s="651" t="s">
        <v>288</v>
      </c>
      <c r="EH15" s="650" t="s">
        <v>502</v>
      </c>
      <c r="EI15" s="651" t="s">
        <v>288</v>
      </c>
      <c r="EJ15" s="650" t="s">
        <v>647</v>
      </c>
      <c r="EK15" s="651" t="s">
        <v>288</v>
      </c>
      <c r="EL15" s="650" t="s">
        <v>289</v>
      </c>
      <c r="EM15" s="651" t="s">
        <v>288</v>
      </c>
      <c r="EN15" s="650" t="s">
        <v>532</v>
      </c>
      <c r="EO15" s="651" t="s">
        <v>288</v>
      </c>
      <c r="EP15" s="650" t="s">
        <v>289</v>
      </c>
      <c r="EQ15" s="651" t="s">
        <v>288</v>
      </c>
      <c r="ER15" s="650" t="s">
        <v>289</v>
      </c>
      <c r="ES15" s="651" t="s">
        <v>288</v>
      </c>
      <c r="ET15" s="650" t="s">
        <v>289</v>
      </c>
      <c r="EU15" s="651" t="s">
        <v>288</v>
      </c>
      <c r="EV15" s="650" t="s">
        <v>289</v>
      </c>
      <c r="EW15" s="651" t="s">
        <v>288</v>
      </c>
      <c r="EX15" s="650" t="s">
        <v>647</v>
      </c>
      <c r="EY15" s="651" t="s">
        <v>288</v>
      </c>
      <c r="EZ15" s="650" t="s">
        <v>289</v>
      </c>
      <c r="FA15" s="651" t="s">
        <v>288</v>
      </c>
      <c r="FB15" s="650" t="s">
        <v>532</v>
      </c>
      <c r="FC15" s="651" t="s">
        <v>288</v>
      </c>
      <c r="FD15" s="650" t="s">
        <v>502</v>
      </c>
      <c r="FE15" s="651" t="s">
        <v>288</v>
      </c>
      <c r="FF15" s="650" t="s">
        <v>289</v>
      </c>
      <c r="FG15" s="651" t="s">
        <v>288</v>
      </c>
      <c r="FH15" s="652" t="s">
        <v>291</v>
      </c>
      <c r="FI15" s="654"/>
      <c r="FJ15" s="529" t="s">
        <v>283</v>
      </c>
      <c r="FK15" s="645" t="s">
        <v>261</v>
      </c>
      <c r="FL15" s="646" t="s">
        <v>262</v>
      </c>
      <c r="FM15" s="647" t="s">
        <v>272</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73</v>
      </c>
      <c r="D16" s="542">
        <v>22.05</v>
      </c>
      <c r="E16" s="663" t="s">
        <v>325</v>
      </c>
      <c r="F16" s="664"/>
      <c r="G16" s="665">
        <v>0</v>
      </c>
      <c r="H16" s="546">
        <f>ROUND(22.05*2.1*0,0)</f>
        <v>0</v>
      </c>
      <c r="I16" s="666">
        <v>0</v>
      </c>
      <c r="J16" s="546">
        <f>ROUND(22.05*2.1*0,0)</f>
        <v>0</v>
      </c>
      <c r="K16" s="666">
        <v>0</v>
      </c>
      <c r="L16" s="546">
        <f>ROUND(22.05*2.1*0,0)</f>
        <v>0</v>
      </c>
      <c r="M16" s="666">
        <v>0</v>
      </c>
      <c r="N16" s="546">
        <f>ROUND(22.05*2.1*0,0)</f>
        <v>0</v>
      </c>
      <c r="O16" s="666">
        <v>0</v>
      </c>
      <c r="P16" s="546">
        <f>ROUND(22.05*2.1*0,0)</f>
        <v>0</v>
      </c>
      <c r="Q16" s="666">
        <v>0</v>
      </c>
      <c r="R16" s="546">
        <f>ROUND(22.05*2.1*0,0)</f>
        <v>0</v>
      </c>
      <c r="S16" s="666">
        <v>0</v>
      </c>
      <c r="T16" s="546">
        <f>ROUND(22.05*2.1*0,0)</f>
        <v>0</v>
      </c>
      <c r="U16" s="666">
        <v>0</v>
      </c>
      <c r="V16" s="546">
        <f>ROUND(22.05*2.1*0,0)</f>
        <v>0</v>
      </c>
      <c r="W16" s="666">
        <v>3.3</v>
      </c>
      <c r="X16" s="546">
        <f>ROUND(22.05*2.1*3.3,0)</f>
        <v>153</v>
      </c>
      <c r="Y16" s="666">
        <v>4.5</v>
      </c>
      <c r="Z16" s="546">
        <f>ROUND(22.05*2.1*4.5,0)</f>
        <v>208</v>
      </c>
      <c r="AA16" s="666">
        <v>5.2</v>
      </c>
      <c r="AB16" s="546">
        <f>ROUND(22.05*2.1*5.2,0)</f>
        <v>241</v>
      </c>
      <c r="AC16" s="666">
        <v>5.7</v>
      </c>
      <c r="AD16" s="546">
        <f>ROUND(22.05*2.1*5.7,0)</f>
        <v>264</v>
      </c>
      <c r="AE16" s="666">
        <v>5.9</v>
      </c>
      <c r="AF16" s="546">
        <f>ROUND(22.05*2.1*5.9,0)</f>
        <v>273</v>
      </c>
      <c r="AG16" s="666">
        <v>5.9</v>
      </c>
      <c r="AH16" s="546">
        <f>ROUND(22.05*2.1*5.9,0)</f>
        <v>273</v>
      </c>
      <c r="AI16" s="666">
        <v>5.4</v>
      </c>
      <c r="AJ16" s="546">
        <f>ROUND(22.05*2.1*5.4,0)</f>
        <v>250</v>
      </c>
      <c r="AK16" s="666">
        <v>4.9000000000000004</v>
      </c>
      <c r="AL16" s="546">
        <f>ROUND(22.05*2.1*4.9,0)</f>
        <v>227</v>
      </c>
      <c r="AM16" s="666">
        <v>4</v>
      </c>
      <c r="AN16" s="546">
        <f>ROUND(22.05*2.1*4,0)</f>
        <v>185</v>
      </c>
      <c r="AO16" s="666">
        <v>3.3</v>
      </c>
      <c r="AP16" s="546">
        <f>ROUND(22.05*2.1*3.3,0)</f>
        <v>153</v>
      </c>
      <c r="AQ16" s="666">
        <v>0</v>
      </c>
      <c r="AR16" s="546">
        <f>ROUND(22.05*2.1*0,0)</f>
        <v>0</v>
      </c>
      <c r="AS16" s="666">
        <v>0</v>
      </c>
      <c r="AT16" s="546">
        <f>ROUND(22.05*2.1*0,0)</f>
        <v>0</v>
      </c>
      <c r="AU16" s="666">
        <v>0</v>
      </c>
      <c r="AV16" s="546">
        <f>ROUND(22.05*2.1*0,0)</f>
        <v>0</v>
      </c>
      <c r="AW16" s="666">
        <v>0</v>
      </c>
      <c r="AX16" s="546">
        <f>ROUND(22.05*2.1*0,0)</f>
        <v>0</v>
      </c>
      <c r="AY16" s="666">
        <v>0</v>
      </c>
      <c r="AZ16" s="546">
        <f>ROUND(22.05*2.1*0,0)</f>
        <v>0</v>
      </c>
      <c r="BA16" s="666">
        <v>0</v>
      </c>
      <c r="BB16" s="667">
        <f>ROUND(22.05*2.1*0,0)</f>
        <v>0</v>
      </c>
      <c r="BC16" s="549"/>
      <c r="BD16" s="539"/>
      <c r="BE16" s="541" t="s">
        <v>229</v>
      </c>
      <c r="BF16" s="662" t="s">
        <v>73</v>
      </c>
      <c r="BG16" s="542">
        <v>22.05</v>
      </c>
      <c r="BH16" s="663" t="s">
        <v>325</v>
      </c>
      <c r="BI16" s="664"/>
      <c r="BJ16" s="665">
        <v>0</v>
      </c>
      <c r="BK16" s="546">
        <f>ROUND(22.05*2.1*0,0)</f>
        <v>0</v>
      </c>
      <c r="BL16" s="666">
        <v>0</v>
      </c>
      <c r="BM16" s="546">
        <f>ROUND(22.05*2.1*0,0)</f>
        <v>0</v>
      </c>
      <c r="BN16" s="666">
        <v>0</v>
      </c>
      <c r="BO16" s="546">
        <f>ROUND(22.05*2.1*0,0)</f>
        <v>0</v>
      </c>
      <c r="BP16" s="666">
        <v>0</v>
      </c>
      <c r="BQ16" s="546">
        <f>ROUND(22.05*2.1*0,0)</f>
        <v>0</v>
      </c>
      <c r="BR16" s="666">
        <v>0</v>
      </c>
      <c r="BS16" s="546">
        <f>ROUND(22.05*2.1*0,0)</f>
        <v>0</v>
      </c>
      <c r="BT16" s="666">
        <v>0</v>
      </c>
      <c r="BU16" s="546">
        <f>ROUND(22.05*2.1*0,0)</f>
        <v>0</v>
      </c>
      <c r="BV16" s="666">
        <v>0</v>
      </c>
      <c r="BW16" s="546">
        <f>ROUND(22.05*2.1*0,0)</f>
        <v>0</v>
      </c>
      <c r="BX16" s="666">
        <v>0</v>
      </c>
      <c r="BY16" s="546">
        <f>ROUND(22.05*2.1*0,0)</f>
        <v>0</v>
      </c>
      <c r="BZ16" s="666">
        <v>3.1</v>
      </c>
      <c r="CA16" s="546">
        <f>ROUND(22.05*2.1*3.1,0)</f>
        <v>144</v>
      </c>
      <c r="CB16" s="666">
        <v>4.0999999999999996</v>
      </c>
      <c r="CC16" s="546">
        <f>ROUND(22.05*2.1*4.1,0)</f>
        <v>190</v>
      </c>
      <c r="CD16" s="666">
        <v>5</v>
      </c>
      <c r="CE16" s="546">
        <f>ROUND(22.05*2.1*5,0)</f>
        <v>232</v>
      </c>
      <c r="CF16" s="666">
        <v>5.4</v>
      </c>
      <c r="CG16" s="546">
        <f>ROUND(22.05*2.1*5.4,0)</f>
        <v>250</v>
      </c>
      <c r="CH16" s="666">
        <v>5.6</v>
      </c>
      <c r="CI16" s="546">
        <f>ROUND(22.05*2.1*5.6,0)</f>
        <v>259</v>
      </c>
      <c r="CJ16" s="666">
        <v>5.4</v>
      </c>
      <c r="CK16" s="546">
        <f>ROUND(22.05*2.1*5.4,0)</f>
        <v>250</v>
      </c>
      <c r="CL16" s="666">
        <v>4.9000000000000004</v>
      </c>
      <c r="CM16" s="546">
        <f>ROUND(22.05*2.1*4.9,0)</f>
        <v>227</v>
      </c>
      <c r="CN16" s="666">
        <v>4.5</v>
      </c>
      <c r="CO16" s="546">
        <f>ROUND(22.05*2.1*4.5,0)</f>
        <v>208</v>
      </c>
      <c r="CP16" s="666">
        <v>4</v>
      </c>
      <c r="CQ16" s="546">
        <f>ROUND(22.05*2.1*4,0)</f>
        <v>185</v>
      </c>
      <c r="CR16" s="666">
        <v>3.1</v>
      </c>
      <c r="CS16" s="546">
        <f>ROUND(22.05*2.1*3.1,0)</f>
        <v>144</v>
      </c>
      <c r="CT16" s="666">
        <v>0</v>
      </c>
      <c r="CU16" s="546">
        <f>ROUND(22.05*2.1*0,0)</f>
        <v>0</v>
      </c>
      <c r="CV16" s="666">
        <v>0</v>
      </c>
      <c r="CW16" s="546">
        <f>ROUND(22.05*2.1*0,0)</f>
        <v>0</v>
      </c>
      <c r="CX16" s="666">
        <v>0</v>
      </c>
      <c r="CY16" s="546">
        <f>ROUND(22.05*2.1*0,0)</f>
        <v>0</v>
      </c>
      <c r="CZ16" s="666">
        <v>0</v>
      </c>
      <c r="DA16" s="546">
        <f>ROUND(22.05*2.1*0,0)</f>
        <v>0</v>
      </c>
      <c r="DB16" s="666">
        <v>0</v>
      </c>
      <c r="DC16" s="546">
        <f>ROUND(22.05*2.1*0,0)</f>
        <v>0</v>
      </c>
      <c r="DD16" s="666">
        <v>0</v>
      </c>
      <c r="DE16" s="667">
        <f>ROUND(22.05*2.1*0,0)</f>
        <v>0</v>
      </c>
      <c r="DF16" s="549"/>
      <c r="DG16" s="539"/>
      <c r="DH16" s="541" t="s">
        <v>229</v>
      </c>
      <c r="DI16" s="662" t="s">
        <v>73</v>
      </c>
      <c r="DJ16" s="542">
        <v>22.05</v>
      </c>
      <c r="DK16" s="663" t="s">
        <v>325</v>
      </c>
      <c r="DL16" s="664"/>
      <c r="DM16" s="665">
        <v>0</v>
      </c>
      <c r="DN16" s="546">
        <f>ROUND(22.05*2.1*0,0)</f>
        <v>0</v>
      </c>
      <c r="DO16" s="666">
        <v>0</v>
      </c>
      <c r="DP16" s="546">
        <f>ROUND(22.05*2.1*0,0)</f>
        <v>0</v>
      </c>
      <c r="DQ16" s="666">
        <v>0</v>
      </c>
      <c r="DR16" s="546">
        <f>ROUND(22.05*2.1*0,0)</f>
        <v>0</v>
      </c>
      <c r="DS16" s="666">
        <v>0</v>
      </c>
      <c r="DT16" s="546">
        <f>ROUND(22.05*2.1*0,0)</f>
        <v>0</v>
      </c>
      <c r="DU16" s="666">
        <v>0</v>
      </c>
      <c r="DV16" s="546">
        <f>ROUND(22.05*2.1*0,0)</f>
        <v>0</v>
      </c>
      <c r="DW16" s="666">
        <v>0</v>
      </c>
      <c r="DX16" s="546">
        <f>ROUND(22.05*2.1*0,0)</f>
        <v>0</v>
      </c>
      <c r="DY16" s="666">
        <v>0</v>
      </c>
      <c r="DZ16" s="546">
        <f>ROUND(22.05*2.1*0,0)</f>
        <v>0</v>
      </c>
      <c r="EA16" s="666">
        <v>0</v>
      </c>
      <c r="EB16" s="546">
        <f>ROUND(22.05*2.1*0,0)</f>
        <v>0</v>
      </c>
      <c r="EC16" s="666">
        <v>0.80000000000000104</v>
      </c>
      <c r="ED16" s="546">
        <f>ROUND(22.05*2.1*0.800000000000001,0)</f>
        <v>37</v>
      </c>
      <c r="EE16" s="666">
        <v>2.1</v>
      </c>
      <c r="EF16" s="546">
        <f>ROUND(22.05*2.1*2.1,0)</f>
        <v>97</v>
      </c>
      <c r="EG16" s="666">
        <v>2.9</v>
      </c>
      <c r="EH16" s="546">
        <f>ROUND(22.05*2.1*2.9,0)</f>
        <v>134</v>
      </c>
      <c r="EI16" s="666">
        <v>3.6</v>
      </c>
      <c r="EJ16" s="546">
        <f>ROUND(22.05*2.1*3.6,0)</f>
        <v>167</v>
      </c>
      <c r="EK16" s="666">
        <v>3.8</v>
      </c>
      <c r="EL16" s="546">
        <f>ROUND(22.05*2.1*3.8,0)</f>
        <v>176</v>
      </c>
      <c r="EM16" s="666">
        <v>3.5</v>
      </c>
      <c r="EN16" s="546">
        <f>ROUND(22.05*2.1*3.5,0)</f>
        <v>162</v>
      </c>
      <c r="EO16" s="666">
        <v>3.1</v>
      </c>
      <c r="EP16" s="546">
        <f>ROUND(22.05*2.1*3.1,0)</f>
        <v>144</v>
      </c>
      <c r="EQ16" s="666">
        <v>2.7</v>
      </c>
      <c r="ER16" s="546">
        <f>ROUND(22.05*2.1*2.7,0)</f>
        <v>125</v>
      </c>
      <c r="ES16" s="666">
        <v>1.7</v>
      </c>
      <c r="ET16" s="546">
        <f>ROUND(22.05*2.1*1.7,0)</f>
        <v>79</v>
      </c>
      <c r="EU16" s="666">
        <v>0.69999999999999896</v>
      </c>
      <c r="EV16" s="546">
        <f>ROUND(22.05*2.1*0.699999999999999,0)</f>
        <v>32</v>
      </c>
      <c r="EW16" s="666">
        <v>0</v>
      </c>
      <c r="EX16" s="546">
        <f>ROUND(22.05*2.1*0,0)</f>
        <v>0</v>
      </c>
      <c r="EY16" s="666">
        <v>0</v>
      </c>
      <c r="EZ16" s="546">
        <f>ROUND(22.05*2.1*0,0)</f>
        <v>0</v>
      </c>
      <c r="FA16" s="666">
        <v>0</v>
      </c>
      <c r="FB16" s="546">
        <f>ROUND(22.05*2.1*0,0)</f>
        <v>0</v>
      </c>
      <c r="FC16" s="666">
        <v>0</v>
      </c>
      <c r="FD16" s="546">
        <f>ROUND(22.05*2.1*0,0)</f>
        <v>0</v>
      </c>
      <c r="FE16" s="666">
        <v>0</v>
      </c>
      <c r="FF16" s="546">
        <f>ROUND(22.05*2.1*0,0)</f>
        <v>0</v>
      </c>
      <c r="FG16" s="666">
        <v>0</v>
      </c>
      <c r="FH16" s="667">
        <f>ROUND(22.05*2.1*0,0)</f>
        <v>0</v>
      </c>
      <c r="FI16" s="550"/>
      <c r="FJ16" s="551"/>
      <c r="FK16" s="541" t="s">
        <v>229</v>
      </c>
      <c r="FL16" s="662" t="s">
        <v>73</v>
      </c>
      <c r="FM16" s="542">
        <v>22.05</v>
      </c>
      <c r="FN16" s="663" t="s">
        <v>325</v>
      </c>
      <c r="FO16" s="664"/>
      <c r="FP16" s="668">
        <v>9</v>
      </c>
      <c r="FQ16" s="669">
        <v>17</v>
      </c>
      <c r="FR16" s="546">
        <f>ROUND(22.05*2.1*17,0)</f>
        <v>787</v>
      </c>
      <c r="FS16" s="670">
        <v>9</v>
      </c>
      <c r="FT16" s="669">
        <v>17.5</v>
      </c>
      <c r="FU16" s="554">
        <f>ROUND(22.05*2.1*17.5,0)</f>
        <v>810</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73</v>
      </c>
      <c r="D17" s="570">
        <v>31.95</v>
      </c>
      <c r="E17" s="675">
        <v>0.9</v>
      </c>
      <c r="F17" s="676"/>
      <c r="G17" s="677">
        <v>0</v>
      </c>
      <c r="H17" s="574">
        <f>ROUND(31.95*0.9*0,0)</f>
        <v>0</v>
      </c>
      <c r="I17" s="678">
        <v>0</v>
      </c>
      <c r="J17" s="574">
        <f>ROUND(31.95*0.9*0,0)</f>
        <v>0</v>
      </c>
      <c r="K17" s="678">
        <v>0</v>
      </c>
      <c r="L17" s="574">
        <f>ROUND(31.95*0.9*0,0)</f>
        <v>0</v>
      </c>
      <c r="M17" s="678">
        <v>0</v>
      </c>
      <c r="N17" s="574">
        <f>ROUND(31.95*0.9*0,0)</f>
        <v>0</v>
      </c>
      <c r="O17" s="678">
        <v>0</v>
      </c>
      <c r="P17" s="574">
        <f>ROUND(31.95*0.9*0,0)</f>
        <v>0</v>
      </c>
      <c r="Q17" s="678">
        <v>0</v>
      </c>
      <c r="R17" s="574">
        <f>ROUND(31.95*0.9*0,0)</f>
        <v>0</v>
      </c>
      <c r="S17" s="678">
        <v>0</v>
      </c>
      <c r="T17" s="574">
        <f>ROUND(31.95*0.9*0,0)</f>
        <v>0</v>
      </c>
      <c r="U17" s="678">
        <v>0</v>
      </c>
      <c r="V17" s="574">
        <f>ROUND(31.95*0.9*0,0)</f>
        <v>0</v>
      </c>
      <c r="W17" s="678">
        <v>1.5</v>
      </c>
      <c r="X17" s="574">
        <f>ROUND(31.95*0.9*1.5,0)</f>
        <v>43</v>
      </c>
      <c r="Y17" s="678">
        <v>2.1</v>
      </c>
      <c r="Z17" s="574">
        <f>ROUND(31.95*0.9*2.1,0)</f>
        <v>60</v>
      </c>
      <c r="AA17" s="678">
        <v>2.9</v>
      </c>
      <c r="AB17" s="574">
        <f>ROUND(31.95*0.9*2.9,0)</f>
        <v>83</v>
      </c>
      <c r="AC17" s="678">
        <v>3.8</v>
      </c>
      <c r="AD17" s="574">
        <f>ROUND(31.95*0.9*3.8,0)</f>
        <v>109</v>
      </c>
      <c r="AE17" s="678">
        <v>4.7</v>
      </c>
      <c r="AF17" s="574">
        <f>ROUND(31.95*0.9*4.7,0)</f>
        <v>135</v>
      </c>
      <c r="AG17" s="678">
        <v>5.5</v>
      </c>
      <c r="AH17" s="574">
        <f>ROUND(31.95*0.9*5.5,0)</f>
        <v>158</v>
      </c>
      <c r="AI17" s="678">
        <v>6.2</v>
      </c>
      <c r="AJ17" s="574">
        <f>ROUND(31.95*0.9*6.2,0)</f>
        <v>178</v>
      </c>
      <c r="AK17" s="678">
        <v>6.8</v>
      </c>
      <c r="AL17" s="574">
        <f>ROUND(31.95*0.9*6.8,0)</f>
        <v>196</v>
      </c>
      <c r="AM17" s="678">
        <v>7.1</v>
      </c>
      <c r="AN17" s="574">
        <f>ROUND(31.95*0.9*7.1,0)</f>
        <v>204</v>
      </c>
      <c r="AO17" s="678">
        <v>7.2</v>
      </c>
      <c r="AP17" s="574">
        <f>ROUND(31.95*0.9*7.2,0)</f>
        <v>207</v>
      </c>
      <c r="AQ17" s="678">
        <v>0</v>
      </c>
      <c r="AR17" s="574">
        <f>ROUND(31.95*0.9*0,0)</f>
        <v>0</v>
      </c>
      <c r="AS17" s="678">
        <v>0</v>
      </c>
      <c r="AT17" s="574">
        <f>ROUND(31.95*0.9*0,0)</f>
        <v>0</v>
      </c>
      <c r="AU17" s="678">
        <v>0</v>
      </c>
      <c r="AV17" s="574">
        <f>ROUND(31.95*0.9*0,0)</f>
        <v>0</v>
      </c>
      <c r="AW17" s="678">
        <v>0</v>
      </c>
      <c r="AX17" s="574">
        <f>ROUND(31.95*0.9*0,0)</f>
        <v>0</v>
      </c>
      <c r="AY17" s="678">
        <v>0</v>
      </c>
      <c r="AZ17" s="574">
        <f>ROUND(31.95*0.9*0,0)</f>
        <v>0</v>
      </c>
      <c r="BA17" s="678">
        <v>0</v>
      </c>
      <c r="BB17" s="576">
        <f>ROUND(31.95*0.9*0,0)</f>
        <v>0</v>
      </c>
      <c r="BC17" s="549"/>
      <c r="BD17" s="539"/>
      <c r="BE17" s="569" t="s">
        <v>213</v>
      </c>
      <c r="BF17" s="674" t="s">
        <v>73</v>
      </c>
      <c r="BG17" s="570">
        <v>31.95</v>
      </c>
      <c r="BH17" s="675">
        <v>0.9</v>
      </c>
      <c r="BI17" s="676"/>
      <c r="BJ17" s="677">
        <v>0</v>
      </c>
      <c r="BK17" s="574">
        <f>ROUND(31.95*0.9*0,0)</f>
        <v>0</v>
      </c>
      <c r="BL17" s="678">
        <v>0</v>
      </c>
      <c r="BM17" s="574">
        <f>ROUND(31.95*0.9*0,0)</f>
        <v>0</v>
      </c>
      <c r="BN17" s="678">
        <v>0</v>
      </c>
      <c r="BO17" s="574">
        <f>ROUND(31.95*0.9*0,0)</f>
        <v>0</v>
      </c>
      <c r="BP17" s="678">
        <v>0</v>
      </c>
      <c r="BQ17" s="574">
        <f>ROUND(31.95*0.9*0,0)</f>
        <v>0</v>
      </c>
      <c r="BR17" s="678">
        <v>0</v>
      </c>
      <c r="BS17" s="574">
        <f>ROUND(31.95*0.9*0,0)</f>
        <v>0</v>
      </c>
      <c r="BT17" s="678">
        <v>0</v>
      </c>
      <c r="BU17" s="574">
        <f>ROUND(31.95*0.9*0,0)</f>
        <v>0</v>
      </c>
      <c r="BV17" s="678">
        <v>0</v>
      </c>
      <c r="BW17" s="574">
        <f>ROUND(31.95*0.9*0,0)</f>
        <v>0</v>
      </c>
      <c r="BX17" s="678">
        <v>0</v>
      </c>
      <c r="BY17" s="574">
        <f>ROUND(31.95*0.9*0,0)</f>
        <v>0</v>
      </c>
      <c r="BZ17" s="678">
        <v>1.1000000000000001</v>
      </c>
      <c r="CA17" s="574">
        <f>ROUND(31.95*0.9*1.1,0)</f>
        <v>32</v>
      </c>
      <c r="CB17" s="678">
        <v>1.6</v>
      </c>
      <c r="CC17" s="574">
        <f>ROUND(31.95*0.9*1.6,0)</f>
        <v>46</v>
      </c>
      <c r="CD17" s="678">
        <v>2.2999999999999998</v>
      </c>
      <c r="CE17" s="574">
        <f>ROUND(31.95*0.9*2.3,0)</f>
        <v>66</v>
      </c>
      <c r="CF17" s="678">
        <v>3.1</v>
      </c>
      <c r="CG17" s="574">
        <f>ROUND(31.95*0.9*3.1,0)</f>
        <v>89</v>
      </c>
      <c r="CH17" s="678">
        <v>3.8</v>
      </c>
      <c r="CI17" s="574">
        <f>ROUND(31.95*0.9*3.8,0)</f>
        <v>109</v>
      </c>
      <c r="CJ17" s="678">
        <v>4.5</v>
      </c>
      <c r="CK17" s="574">
        <f>ROUND(31.95*0.9*4.5,0)</f>
        <v>129</v>
      </c>
      <c r="CL17" s="678">
        <v>5.0999999999999996</v>
      </c>
      <c r="CM17" s="574">
        <f>ROUND(31.95*0.9*5.1,0)</f>
        <v>147</v>
      </c>
      <c r="CN17" s="678">
        <v>5.6</v>
      </c>
      <c r="CO17" s="574">
        <f>ROUND(31.95*0.9*5.6,0)</f>
        <v>161</v>
      </c>
      <c r="CP17" s="678">
        <v>6</v>
      </c>
      <c r="CQ17" s="574">
        <f>ROUND(31.95*0.9*6,0)</f>
        <v>173</v>
      </c>
      <c r="CR17" s="678">
        <v>6.4</v>
      </c>
      <c r="CS17" s="574">
        <f>ROUND(31.95*0.9*6.4,0)</f>
        <v>184</v>
      </c>
      <c r="CT17" s="678">
        <v>0</v>
      </c>
      <c r="CU17" s="574">
        <f>ROUND(31.95*0.9*0,0)</f>
        <v>0</v>
      </c>
      <c r="CV17" s="678">
        <v>0</v>
      </c>
      <c r="CW17" s="574">
        <f>ROUND(31.95*0.9*0,0)</f>
        <v>0</v>
      </c>
      <c r="CX17" s="678">
        <v>0</v>
      </c>
      <c r="CY17" s="574">
        <f>ROUND(31.95*0.9*0,0)</f>
        <v>0</v>
      </c>
      <c r="CZ17" s="678">
        <v>0</v>
      </c>
      <c r="DA17" s="574">
        <f>ROUND(31.95*0.9*0,0)</f>
        <v>0</v>
      </c>
      <c r="DB17" s="678">
        <v>0</v>
      </c>
      <c r="DC17" s="574">
        <f>ROUND(31.95*0.9*0,0)</f>
        <v>0</v>
      </c>
      <c r="DD17" s="678">
        <v>0</v>
      </c>
      <c r="DE17" s="576">
        <f>ROUND(31.95*0.9*0,0)</f>
        <v>0</v>
      </c>
      <c r="DF17" s="549"/>
      <c r="DG17" s="539"/>
      <c r="DH17" s="569" t="s">
        <v>213</v>
      </c>
      <c r="DI17" s="674" t="s">
        <v>73</v>
      </c>
      <c r="DJ17" s="570">
        <v>31.95</v>
      </c>
      <c r="DK17" s="675">
        <v>0.9</v>
      </c>
      <c r="DL17" s="676"/>
      <c r="DM17" s="677">
        <v>0</v>
      </c>
      <c r="DN17" s="574">
        <f>ROUND(31.95*0.9*0,0)</f>
        <v>0</v>
      </c>
      <c r="DO17" s="678">
        <v>0</v>
      </c>
      <c r="DP17" s="574">
        <f>ROUND(31.95*0.9*0,0)</f>
        <v>0</v>
      </c>
      <c r="DQ17" s="678">
        <v>0</v>
      </c>
      <c r="DR17" s="574">
        <f>ROUND(31.95*0.9*0,0)</f>
        <v>0</v>
      </c>
      <c r="DS17" s="678">
        <v>0</v>
      </c>
      <c r="DT17" s="574">
        <f>ROUND(31.95*0.9*0,0)</f>
        <v>0</v>
      </c>
      <c r="DU17" s="678">
        <v>0</v>
      </c>
      <c r="DV17" s="574">
        <f>ROUND(31.95*0.9*0,0)</f>
        <v>0</v>
      </c>
      <c r="DW17" s="678">
        <v>0</v>
      </c>
      <c r="DX17" s="574">
        <f>ROUND(31.95*0.9*0,0)</f>
        <v>0</v>
      </c>
      <c r="DY17" s="678">
        <v>0</v>
      </c>
      <c r="DZ17" s="574">
        <f>ROUND(31.95*0.9*0,0)</f>
        <v>0</v>
      </c>
      <c r="EA17" s="678">
        <v>0</v>
      </c>
      <c r="EB17" s="574">
        <f>ROUND(31.95*0.9*0,0)</f>
        <v>0</v>
      </c>
      <c r="EC17" s="678">
        <v>0</v>
      </c>
      <c r="ED17" s="574">
        <f>ROUND(31.95*0.9*0,0)</f>
        <v>0</v>
      </c>
      <c r="EE17" s="678">
        <v>0</v>
      </c>
      <c r="EF17" s="574">
        <f>ROUND(31.95*0.9*0,0)</f>
        <v>0</v>
      </c>
      <c r="EG17" s="678">
        <v>0</v>
      </c>
      <c r="EH17" s="574">
        <f>ROUND(31.95*0.9*0,0)</f>
        <v>0</v>
      </c>
      <c r="EI17" s="678">
        <v>0.4</v>
      </c>
      <c r="EJ17" s="574">
        <f>ROUND(31.95*0.9*0.4,0)</f>
        <v>12</v>
      </c>
      <c r="EK17" s="678">
        <v>1.3</v>
      </c>
      <c r="EL17" s="574">
        <f>ROUND(31.95*0.9*1.3,0)</f>
        <v>37</v>
      </c>
      <c r="EM17" s="678">
        <v>2.1</v>
      </c>
      <c r="EN17" s="574">
        <f>ROUND(31.95*0.9*2.1,0)</f>
        <v>60</v>
      </c>
      <c r="EO17" s="678">
        <v>2.8</v>
      </c>
      <c r="EP17" s="574">
        <f>ROUND(31.95*0.9*2.8,0)</f>
        <v>81</v>
      </c>
      <c r="EQ17" s="678">
        <v>3.3</v>
      </c>
      <c r="ER17" s="574">
        <f>ROUND(31.95*0.9*3.3,0)</f>
        <v>95</v>
      </c>
      <c r="ES17" s="678">
        <v>3.6</v>
      </c>
      <c r="ET17" s="574">
        <f>ROUND(31.95*0.9*3.6,0)</f>
        <v>104</v>
      </c>
      <c r="EU17" s="678">
        <v>3.7</v>
      </c>
      <c r="EV17" s="574">
        <f>ROUND(31.95*0.9*3.7,0)</f>
        <v>106</v>
      </c>
      <c r="EW17" s="678">
        <v>0</v>
      </c>
      <c r="EX17" s="574">
        <f>ROUND(31.95*0.9*0,0)</f>
        <v>0</v>
      </c>
      <c r="EY17" s="678">
        <v>0</v>
      </c>
      <c r="EZ17" s="574">
        <f>ROUND(31.95*0.9*0,0)</f>
        <v>0</v>
      </c>
      <c r="FA17" s="678">
        <v>0</v>
      </c>
      <c r="FB17" s="574">
        <f>ROUND(31.95*0.9*0,0)</f>
        <v>0</v>
      </c>
      <c r="FC17" s="678">
        <v>0</v>
      </c>
      <c r="FD17" s="574">
        <f>ROUND(31.95*0.9*0,0)</f>
        <v>0</v>
      </c>
      <c r="FE17" s="678">
        <v>0</v>
      </c>
      <c r="FF17" s="574">
        <f>ROUND(31.95*0.9*0,0)</f>
        <v>0</v>
      </c>
      <c r="FG17" s="678">
        <v>0</v>
      </c>
      <c r="FH17" s="576">
        <f>ROUND(31.95*0.9*0,0)</f>
        <v>0</v>
      </c>
      <c r="FI17" s="550"/>
      <c r="FJ17" s="551"/>
      <c r="FK17" s="569" t="s">
        <v>213</v>
      </c>
      <c r="FL17" s="674" t="s">
        <v>73</v>
      </c>
      <c r="FM17" s="570">
        <v>31.95</v>
      </c>
      <c r="FN17" s="675">
        <v>0.9</v>
      </c>
      <c r="FO17" s="676"/>
      <c r="FP17" s="679">
        <v>9</v>
      </c>
      <c r="FQ17" s="680">
        <v>17</v>
      </c>
      <c r="FR17" s="574">
        <f>ROUND(31.95*0.9*17,0)</f>
        <v>489</v>
      </c>
      <c r="FS17" s="681">
        <v>9</v>
      </c>
      <c r="FT17" s="680">
        <v>17.5</v>
      </c>
      <c r="FU17" s="579">
        <f>ROUND(31.95*0.9*17.5,0)</f>
        <v>503</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t="s">
        <v>236</v>
      </c>
      <c r="C18" s="674"/>
      <c r="D18" s="570">
        <v>38.880000000000003</v>
      </c>
      <c r="E18" s="675">
        <v>2.9</v>
      </c>
      <c r="F18" s="676"/>
      <c r="G18" s="677">
        <v>0</v>
      </c>
      <c r="H18" s="574">
        <f>ROUND(38.88*2.9*0,0)</f>
        <v>0</v>
      </c>
      <c r="I18" s="678">
        <v>0</v>
      </c>
      <c r="J18" s="574">
        <f>ROUND(38.88*2.9*0,0)</f>
        <v>0</v>
      </c>
      <c r="K18" s="678">
        <v>0</v>
      </c>
      <c r="L18" s="574">
        <f>ROUND(38.88*2.9*0,0)</f>
        <v>0</v>
      </c>
      <c r="M18" s="678">
        <v>0</v>
      </c>
      <c r="N18" s="574">
        <f>ROUND(38.88*2.9*0,0)</f>
        <v>0</v>
      </c>
      <c r="O18" s="678">
        <v>0</v>
      </c>
      <c r="P18" s="574">
        <f>ROUND(38.88*2.9*0,0)</f>
        <v>0</v>
      </c>
      <c r="Q18" s="678">
        <v>0</v>
      </c>
      <c r="R18" s="574">
        <f>ROUND(38.88*2.9*0,0)</f>
        <v>0</v>
      </c>
      <c r="S18" s="678">
        <v>0</v>
      </c>
      <c r="T18" s="574">
        <f>ROUND(38.88*2.9*0,0)</f>
        <v>0</v>
      </c>
      <c r="U18" s="678">
        <v>0</v>
      </c>
      <c r="V18" s="574">
        <f>ROUND(38.88*2.9*0,0)</f>
        <v>0</v>
      </c>
      <c r="W18" s="678">
        <v>1</v>
      </c>
      <c r="X18" s="574">
        <f>ROUND(38.88*2.9*1,0)</f>
        <v>113</v>
      </c>
      <c r="Y18" s="678">
        <v>1.3</v>
      </c>
      <c r="Z18" s="574">
        <f>ROUND(38.88*2.9*1.3,0)</f>
        <v>147</v>
      </c>
      <c r="AA18" s="678">
        <v>1.6</v>
      </c>
      <c r="AB18" s="574">
        <f>ROUND(38.88*2.9*1.6,0)</f>
        <v>180</v>
      </c>
      <c r="AC18" s="678">
        <v>1.7</v>
      </c>
      <c r="AD18" s="574">
        <f>ROUND(38.88*2.9*1.7,0)</f>
        <v>192</v>
      </c>
      <c r="AE18" s="678">
        <v>1.8</v>
      </c>
      <c r="AF18" s="574">
        <f>ROUND(38.88*2.9*1.8,0)</f>
        <v>203</v>
      </c>
      <c r="AG18" s="678">
        <v>1.8</v>
      </c>
      <c r="AH18" s="574">
        <f>ROUND(38.88*2.9*1.8,0)</f>
        <v>203</v>
      </c>
      <c r="AI18" s="678">
        <v>1.6</v>
      </c>
      <c r="AJ18" s="574">
        <f>ROUND(38.88*2.9*1.6,0)</f>
        <v>180</v>
      </c>
      <c r="AK18" s="678">
        <v>1.5</v>
      </c>
      <c r="AL18" s="574">
        <f>ROUND(38.88*2.9*1.5,0)</f>
        <v>169</v>
      </c>
      <c r="AM18" s="678">
        <v>1.2</v>
      </c>
      <c r="AN18" s="574">
        <f>ROUND(38.88*2.9*1.2,0)</f>
        <v>135</v>
      </c>
      <c r="AO18" s="678">
        <v>1</v>
      </c>
      <c r="AP18" s="574">
        <f>ROUND(38.88*2.9*1,0)</f>
        <v>113</v>
      </c>
      <c r="AQ18" s="678">
        <v>0</v>
      </c>
      <c r="AR18" s="574">
        <f>ROUND(38.88*2.9*0,0)</f>
        <v>0</v>
      </c>
      <c r="AS18" s="678">
        <v>0</v>
      </c>
      <c r="AT18" s="574">
        <f>ROUND(38.88*2.9*0,0)</f>
        <v>0</v>
      </c>
      <c r="AU18" s="678">
        <v>0</v>
      </c>
      <c r="AV18" s="574">
        <f>ROUND(38.88*2.9*0,0)</f>
        <v>0</v>
      </c>
      <c r="AW18" s="678">
        <v>0</v>
      </c>
      <c r="AX18" s="574">
        <f>ROUND(38.88*2.9*0,0)</f>
        <v>0</v>
      </c>
      <c r="AY18" s="678">
        <v>0</v>
      </c>
      <c r="AZ18" s="574">
        <f>ROUND(38.88*2.9*0,0)</f>
        <v>0</v>
      </c>
      <c r="BA18" s="678">
        <v>0</v>
      </c>
      <c r="BB18" s="576">
        <f>ROUND(38.88*2.9*0,0)</f>
        <v>0</v>
      </c>
      <c r="BC18" s="549"/>
      <c r="BD18" s="539"/>
      <c r="BE18" s="683" t="s">
        <v>236</v>
      </c>
      <c r="BF18" s="674"/>
      <c r="BG18" s="570">
        <v>38.880000000000003</v>
      </c>
      <c r="BH18" s="675">
        <v>2.9</v>
      </c>
      <c r="BI18" s="676"/>
      <c r="BJ18" s="677">
        <v>0</v>
      </c>
      <c r="BK18" s="574">
        <f>ROUND(38.88*2.9*0,0)</f>
        <v>0</v>
      </c>
      <c r="BL18" s="678">
        <v>0</v>
      </c>
      <c r="BM18" s="574">
        <f>ROUND(38.88*2.9*0,0)</f>
        <v>0</v>
      </c>
      <c r="BN18" s="678">
        <v>0</v>
      </c>
      <c r="BO18" s="574">
        <f>ROUND(38.88*2.9*0,0)</f>
        <v>0</v>
      </c>
      <c r="BP18" s="678">
        <v>0</v>
      </c>
      <c r="BQ18" s="574">
        <f>ROUND(38.88*2.9*0,0)</f>
        <v>0</v>
      </c>
      <c r="BR18" s="678">
        <v>0</v>
      </c>
      <c r="BS18" s="574">
        <f>ROUND(38.88*2.9*0,0)</f>
        <v>0</v>
      </c>
      <c r="BT18" s="678">
        <v>0</v>
      </c>
      <c r="BU18" s="574">
        <f>ROUND(38.88*2.9*0,0)</f>
        <v>0</v>
      </c>
      <c r="BV18" s="678">
        <v>0</v>
      </c>
      <c r="BW18" s="574">
        <f>ROUND(38.88*2.9*0,0)</f>
        <v>0</v>
      </c>
      <c r="BX18" s="678">
        <v>0</v>
      </c>
      <c r="BY18" s="574">
        <f>ROUND(38.88*2.9*0,0)</f>
        <v>0</v>
      </c>
      <c r="BZ18" s="678">
        <v>0.9</v>
      </c>
      <c r="CA18" s="574">
        <f>ROUND(38.88*2.9*0.9,0)</f>
        <v>101</v>
      </c>
      <c r="CB18" s="678">
        <v>1.2</v>
      </c>
      <c r="CC18" s="574">
        <f>ROUND(38.88*2.9*1.2,0)</f>
        <v>135</v>
      </c>
      <c r="CD18" s="678">
        <v>1.5</v>
      </c>
      <c r="CE18" s="574">
        <f>ROUND(38.88*2.9*1.5,0)</f>
        <v>169</v>
      </c>
      <c r="CF18" s="678">
        <v>1.6</v>
      </c>
      <c r="CG18" s="574">
        <f>ROUND(38.88*2.9*1.6,0)</f>
        <v>180</v>
      </c>
      <c r="CH18" s="678">
        <v>1.7</v>
      </c>
      <c r="CI18" s="574">
        <f>ROUND(38.88*2.9*1.7,0)</f>
        <v>192</v>
      </c>
      <c r="CJ18" s="678">
        <v>1.6</v>
      </c>
      <c r="CK18" s="574">
        <f>ROUND(38.88*2.9*1.6,0)</f>
        <v>180</v>
      </c>
      <c r="CL18" s="678">
        <v>1.5</v>
      </c>
      <c r="CM18" s="574">
        <f>ROUND(38.88*2.9*1.5,0)</f>
        <v>169</v>
      </c>
      <c r="CN18" s="678">
        <v>1.3</v>
      </c>
      <c r="CO18" s="574">
        <f>ROUND(38.88*2.9*1.3,0)</f>
        <v>147</v>
      </c>
      <c r="CP18" s="678">
        <v>1.2</v>
      </c>
      <c r="CQ18" s="574">
        <f>ROUND(38.88*2.9*1.2,0)</f>
        <v>135</v>
      </c>
      <c r="CR18" s="678">
        <v>0.9</v>
      </c>
      <c r="CS18" s="574">
        <f>ROUND(38.88*2.9*0.9,0)</f>
        <v>101</v>
      </c>
      <c r="CT18" s="678">
        <v>0</v>
      </c>
      <c r="CU18" s="574">
        <f>ROUND(38.88*2.9*0,0)</f>
        <v>0</v>
      </c>
      <c r="CV18" s="678">
        <v>0</v>
      </c>
      <c r="CW18" s="574">
        <f>ROUND(38.88*2.9*0,0)</f>
        <v>0</v>
      </c>
      <c r="CX18" s="678">
        <v>0</v>
      </c>
      <c r="CY18" s="574">
        <f>ROUND(38.88*2.9*0,0)</f>
        <v>0</v>
      </c>
      <c r="CZ18" s="678">
        <v>0</v>
      </c>
      <c r="DA18" s="574">
        <f>ROUND(38.88*2.9*0,0)</f>
        <v>0</v>
      </c>
      <c r="DB18" s="678">
        <v>0</v>
      </c>
      <c r="DC18" s="574">
        <f>ROUND(38.88*2.9*0,0)</f>
        <v>0</v>
      </c>
      <c r="DD18" s="678">
        <v>0</v>
      </c>
      <c r="DE18" s="576">
        <f>ROUND(38.88*2.9*0,0)</f>
        <v>0</v>
      </c>
      <c r="DF18" s="549"/>
      <c r="DG18" s="539"/>
      <c r="DH18" s="683" t="s">
        <v>236</v>
      </c>
      <c r="DI18" s="674"/>
      <c r="DJ18" s="570">
        <v>38.880000000000003</v>
      </c>
      <c r="DK18" s="675">
        <v>2.9</v>
      </c>
      <c r="DL18" s="676"/>
      <c r="DM18" s="677">
        <v>0</v>
      </c>
      <c r="DN18" s="574">
        <f>ROUND(38.88*2.9*0,0)</f>
        <v>0</v>
      </c>
      <c r="DO18" s="678">
        <v>0</v>
      </c>
      <c r="DP18" s="574">
        <f>ROUND(38.88*2.9*0,0)</f>
        <v>0</v>
      </c>
      <c r="DQ18" s="678">
        <v>0</v>
      </c>
      <c r="DR18" s="574">
        <f>ROUND(38.88*2.9*0,0)</f>
        <v>0</v>
      </c>
      <c r="DS18" s="678">
        <v>0</v>
      </c>
      <c r="DT18" s="574">
        <f>ROUND(38.88*2.9*0,0)</f>
        <v>0</v>
      </c>
      <c r="DU18" s="678">
        <v>0</v>
      </c>
      <c r="DV18" s="574">
        <f>ROUND(38.88*2.9*0,0)</f>
        <v>0</v>
      </c>
      <c r="DW18" s="678">
        <v>0</v>
      </c>
      <c r="DX18" s="574">
        <f>ROUND(38.88*2.9*0,0)</f>
        <v>0</v>
      </c>
      <c r="DY18" s="678">
        <v>0</v>
      </c>
      <c r="DZ18" s="574">
        <f>ROUND(38.88*2.9*0,0)</f>
        <v>0</v>
      </c>
      <c r="EA18" s="678">
        <v>0</v>
      </c>
      <c r="EB18" s="574">
        <f>ROUND(38.88*2.9*0,0)</f>
        <v>0</v>
      </c>
      <c r="EC18" s="678">
        <v>0.2</v>
      </c>
      <c r="ED18" s="574">
        <f>ROUND(38.88*2.9*0.2,0)</f>
        <v>23</v>
      </c>
      <c r="EE18" s="678">
        <v>0.6</v>
      </c>
      <c r="EF18" s="574">
        <f>ROUND(38.88*2.9*0.6,0)</f>
        <v>68</v>
      </c>
      <c r="EG18" s="678">
        <v>0.9</v>
      </c>
      <c r="EH18" s="574">
        <f>ROUND(38.88*2.9*0.9,0)</f>
        <v>101</v>
      </c>
      <c r="EI18" s="678">
        <v>1.1000000000000001</v>
      </c>
      <c r="EJ18" s="574">
        <f>ROUND(38.88*2.9*1.1,0)</f>
        <v>124</v>
      </c>
      <c r="EK18" s="678">
        <v>1.1000000000000001</v>
      </c>
      <c r="EL18" s="574">
        <f>ROUND(38.88*2.9*1.1,0)</f>
        <v>124</v>
      </c>
      <c r="EM18" s="678">
        <v>1</v>
      </c>
      <c r="EN18" s="574">
        <f>ROUND(38.88*2.9*1,0)</f>
        <v>113</v>
      </c>
      <c r="EO18" s="678">
        <v>0.9</v>
      </c>
      <c r="EP18" s="574">
        <f>ROUND(38.88*2.9*0.9,0)</f>
        <v>101</v>
      </c>
      <c r="EQ18" s="678">
        <v>0.8</v>
      </c>
      <c r="ER18" s="574">
        <f>ROUND(38.88*2.9*0.8,0)</f>
        <v>90</v>
      </c>
      <c r="ES18" s="678">
        <v>0.5</v>
      </c>
      <c r="ET18" s="574">
        <f>ROUND(38.88*2.9*0.5,0)</f>
        <v>56</v>
      </c>
      <c r="EU18" s="678">
        <v>0.2</v>
      </c>
      <c r="EV18" s="574">
        <f>ROUND(38.88*2.9*0.2,0)</f>
        <v>23</v>
      </c>
      <c r="EW18" s="678">
        <v>0</v>
      </c>
      <c r="EX18" s="574">
        <f>ROUND(38.88*2.9*0,0)</f>
        <v>0</v>
      </c>
      <c r="EY18" s="678">
        <v>0</v>
      </c>
      <c r="EZ18" s="574">
        <f>ROUND(38.88*2.9*0,0)</f>
        <v>0</v>
      </c>
      <c r="FA18" s="678">
        <v>0</v>
      </c>
      <c r="FB18" s="574">
        <f>ROUND(38.88*2.9*0,0)</f>
        <v>0</v>
      </c>
      <c r="FC18" s="678">
        <v>0</v>
      </c>
      <c r="FD18" s="574">
        <f>ROUND(38.88*2.9*0,0)</f>
        <v>0</v>
      </c>
      <c r="FE18" s="678">
        <v>0</v>
      </c>
      <c r="FF18" s="574">
        <f>ROUND(38.88*2.9*0,0)</f>
        <v>0</v>
      </c>
      <c r="FG18" s="678">
        <v>0</v>
      </c>
      <c r="FH18" s="576">
        <f>ROUND(38.88*2.9*0,0)</f>
        <v>0</v>
      </c>
      <c r="FI18" s="550"/>
      <c r="FJ18" s="551"/>
      <c r="FK18" s="683" t="s">
        <v>236</v>
      </c>
      <c r="FL18" s="674"/>
      <c r="FM18" s="570">
        <v>38.880000000000003</v>
      </c>
      <c r="FN18" s="675">
        <v>2.9</v>
      </c>
      <c r="FO18" s="676"/>
      <c r="FP18" s="679">
        <v>9</v>
      </c>
      <c r="FQ18" s="680">
        <v>5.0999999999999996</v>
      </c>
      <c r="FR18" s="574">
        <f>ROUND(38.88*2.9*5.1,0)</f>
        <v>575</v>
      </c>
      <c r="FS18" s="681">
        <v>9</v>
      </c>
      <c r="FT18" s="680">
        <v>5.2</v>
      </c>
      <c r="FU18" s="579">
        <f>ROUND(38.88*2.9*5.2,0)</f>
        <v>586</v>
      </c>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c r="C19" s="674"/>
      <c r="D19" s="570"/>
      <c r="E19" s="675"/>
      <c r="F19" s="676"/>
      <c r="G19" s="677"/>
      <c r="H19" s="574"/>
      <c r="I19" s="678"/>
      <c r="J19" s="574"/>
      <c r="K19" s="678"/>
      <c r="L19" s="574"/>
      <c r="M19" s="678"/>
      <c r="N19" s="574"/>
      <c r="O19" s="678"/>
      <c r="P19" s="574"/>
      <c r="Q19" s="678"/>
      <c r="R19" s="574"/>
      <c r="S19" s="678"/>
      <c r="T19" s="574"/>
      <c r="U19" s="678"/>
      <c r="V19" s="574"/>
      <c r="W19" s="678"/>
      <c r="X19" s="574"/>
      <c r="Y19" s="678"/>
      <c r="Z19" s="574"/>
      <c r="AA19" s="678"/>
      <c r="AB19" s="574"/>
      <c r="AC19" s="678"/>
      <c r="AD19" s="574"/>
      <c r="AE19" s="678"/>
      <c r="AF19" s="574"/>
      <c r="AG19" s="678"/>
      <c r="AH19" s="574"/>
      <c r="AI19" s="678"/>
      <c r="AJ19" s="574"/>
      <c r="AK19" s="678"/>
      <c r="AL19" s="574"/>
      <c r="AM19" s="678"/>
      <c r="AN19" s="574"/>
      <c r="AO19" s="678"/>
      <c r="AP19" s="574"/>
      <c r="AQ19" s="678"/>
      <c r="AR19" s="574"/>
      <c r="AS19" s="678"/>
      <c r="AT19" s="574"/>
      <c r="AU19" s="678"/>
      <c r="AV19" s="574"/>
      <c r="AW19" s="678"/>
      <c r="AX19" s="574"/>
      <c r="AY19" s="678"/>
      <c r="AZ19" s="574"/>
      <c r="BA19" s="678"/>
      <c r="BB19" s="576"/>
      <c r="BC19" s="549"/>
      <c r="BD19" s="539"/>
      <c r="BE19" s="683"/>
      <c r="BF19" s="674"/>
      <c r="BG19" s="570"/>
      <c r="BH19" s="675"/>
      <c r="BI19" s="676"/>
      <c r="BJ19" s="677"/>
      <c r="BK19" s="574"/>
      <c r="BL19" s="678"/>
      <c r="BM19" s="574"/>
      <c r="BN19" s="678"/>
      <c r="BO19" s="574"/>
      <c r="BP19" s="678"/>
      <c r="BQ19" s="574"/>
      <c r="BR19" s="678"/>
      <c r="BS19" s="574"/>
      <c r="BT19" s="678"/>
      <c r="BU19" s="574"/>
      <c r="BV19" s="678"/>
      <c r="BW19" s="574"/>
      <c r="BX19" s="678"/>
      <c r="BY19" s="574"/>
      <c r="BZ19" s="678"/>
      <c r="CA19" s="574"/>
      <c r="CB19" s="678"/>
      <c r="CC19" s="574"/>
      <c r="CD19" s="678"/>
      <c r="CE19" s="574"/>
      <c r="CF19" s="678"/>
      <c r="CG19" s="574"/>
      <c r="CH19" s="678"/>
      <c r="CI19" s="574"/>
      <c r="CJ19" s="678"/>
      <c r="CK19" s="574"/>
      <c r="CL19" s="678"/>
      <c r="CM19" s="574"/>
      <c r="CN19" s="678"/>
      <c r="CO19" s="574"/>
      <c r="CP19" s="678"/>
      <c r="CQ19" s="574"/>
      <c r="CR19" s="678"/>
      <c r="CS19" s="574"/>
      <c r="CT19" s="678"/>
      <c r="CU19" s="574"/>
      <c r="CV19" s="678"/>
      <c r="CW19" s="574"/>
      <c r="CX19" s="678"/>
      <c r="CY19" s="574"/>
      <c r="CZ19" s="678"/>
      <c r="DA19" s="574"/>
      <c r="DB19" s="678"/>
      <c r="DC19" s="574"/>
      <c r="DD19" s="678"/>
      <c r="DE19" s="576"/>
      <c r="DF19" s="549"/>
      <c r="DG19" s="539"/>
      <c r="DH19" s="683"/>
      <c r="DI19" s="674"/>
      <c r="DJ19" s="570"/>
      <c r="DK19" s="675"/>
      <c r="DL19" s="676"/>
      <c r="DM19" s="677"/>
      <c r="DN19" s="574"/>
      <c r="DO19" s="678"/>
      <c r="DP19" s="574"/>
      <c r="DQ19" s="678"/>
      <c r="DR19" s="574"/>
      <c r="DS19" s="678"/>
      <c r="DT19" s="574"/>
      <c r="DU19" s="678"/>
      <c r="DV19" s="574"/>
      <c r="DW19" s="678"/>
      <c r="DX19" s="574"/>
      <c r="DY19" s="678"/>
      <c r="DZ19" s="574"/>
      <c r="EA19" s="678"/>
      <c r="EB19" s="574"/>
      <c r="EC19" s="678"/>
      <c r="ED19" s="574"/>
      <c r="EE19" s="678"/>
      <c r="EF19" s="574"/>
      <c r="EG19" s="678"/>
      <c r="EH19" s="574"/>
      <c r="EI19" s="678"/>
      <c r="EJ19" s="574"/>
      <c r="EK19" s="678"/>
      <c r="EL19" s="574"/>
      <c r="EM19" s="678"/>
      <c r="EN19" s="574"/>
      <c r="EO19" s="678"/>
      <c r="EP19" s="574"/>
      <c r="EQ19" s="678"/>
      <c r="ER19" s="574"/>
      <c r="ES19" s="678"/>
      <c r="ET19" s="574"/>
      <c r="EU19" s="678"/>
      <c r="EV19" s="574"/>
      <c r="EW19" s="678"/>
      <c r="EX19" s="574"/>
      <c r="EY19" s="678"/>
      <c r="EZ19" s="574"/>
      <c r="FA19" s="678"/>
      <c r="FB19" s="574"/>
      <c r="FC19" s="678"/>
      <c r="FD19" s="574"/>
      <c r="FE19" s="678"/>
      <c r="FF19" s="574"/>
      <c r="FG19" s="678"/>
      <c r="FH19" s="576"/>
      <c r="FI19" s="550"/>
      <c r="FJ19" s="551"/>
      <c r="FK19" s="683"/>
      <c r="FL19" s="674"/>
      <c r="FM19" s="570"/>
      <c r="FN19" s="675"/>
      <c r="FO19" s="676"/>
      <c r="FP19" s="679"/>
      <c r="FQ19" s="680"/>
      <c r="FR19" s="574"/>
      <c r="FS19" s="681"/>
      <c r="FT19" s="680"/>
      <c r="FU19" s="579"/>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22.05</v>
      </c>
      <c r="GO21" s="687"/>
      <c r="GP21" s="688"/>
      <c r="GQ21" s="620">
        <v>0</v>
      </c>
      <c r="GR21" s="621">
        <v>22.05</v>
      </c>
      <c r="GS21" s="565"/>
      <c r="GT21" s="660"/>
      <c r="GU21" s="684" t="s">
        <v>433</v>
      </c>
      <c r="GV21" s="685"/>
      <c r="GW21" s="686"/>
      <c r="GX21" s="689">
        <v>22.05</v>
      </c>
      <c r="GY21" s="690"/>
      <c r="GZ21" s="687"/>
      <c r="HA21" s="691">
        <v>0</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108</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0.2</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294</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309</v>
      </c>
      <c r="Y26" s="1271"/>
      <c r="Z26" s="1264">
        <f>SUM(Z16:Z25)</f>
        <v>415</v>
      </c>
      <c r="AA26" s="1271"/>
      <c r="AB26" s="1264">
        <f>SUM(AB16:AB25)</f>
        <v>504</v>
      </c>
      <c r="AC26" s="1271"/>
      <c r="AD26" s="1264">
        <f>SUM(AD16:AD25)</f>
        <v>565</v>
      </c>
      <c r="AE26" s="1271"/>
      <c r="AF26" s="1264">
        <f>SUM(AF16:AF25)</f>
        <v>611</v>
      </c>
      <c r="AG26" s="1271"/>
      <c r="AH26" s="1264">
        <f>SUM(AH16:AH25)</f>
        <v>634</v>
      </c>
      <c r="AI26" s="1271"/>
      <c r="AJ26" s="1264">
        <f>SUM(AJ16:AJ25)</f>
        <v>608</v>
      </c>
      <c r="AK26" s="1271"/>
      <c r="AL26" s="1264">
        <f>SUM(AL16:AL25)</f>
        <v>592</v>
      </c>
      <c r="AM26" s="1271"/>
      <c r="AN26" s="1264">
        <f>SUM(AN16:AN25)</f>
        <v>524</v>
      </c>
      <c r="AO26" s="1271"/>
      <c r="AP26" s="1264">
        <f>SUM(AP16:AP25)</f>
        <v>473</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294</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277</v>
      </c>
      <c r="CB26" s="1271"/>
      <c r="CC26" s="1264">
        <f>SUM(CC16:CC25)</f>
        <v>371</v>
      </c>
      <c r="CD26" s="1271"/>
      <c r="CE26" s="1264">
        <f>SUM(CE16:CE25)</f>
        <v>467</v>
      </c>
      <c r="CF26" s="1271"/>
      <c r="CG26" s="1264">
        <f>SUM(CG16:CG25)</f>
        <v>519</v>
      </c>
      <c r="CH26" s="1271"/>
      <c r="CI26" s="1264">
        <f>SUM(CI16:CI25)</f>
        <v>560</v>
      </c>
      <c r="CJ26" s="1271"/>
      <c r="CK26" s="1264">
        <f>SUM(CK16:CK25)</f>
        <v>559</v>
      </c>
      <c r="CL26" s="1271"/>
      <c r="CM26" s="1264">
        <f>SUM(CM16:CM25)</f>
        <v>543</v>
      </c>
      <c r="CN26" s="1271"/>
      <c r="CO26" s="1264">
        <f>SUM(CO16:CO25)</f>
        <v>516</v>
      </c>
      <c r="CP26" s="1271"/>
      <c r="CQ26" s="1264">
        <f>SUM(CQ16:CQ25)</f>
        <v>493</v>
      </c>
      <c r="CR26" s="1271"/>
      <c r="CS26" s="1264">
        <f>SUM(CS16:CS25)</f>
        <v>429</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294</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60</v>
      </c>
      <c r="EE26" s="1271"/>
      <c r="EF26" s="1264">
        <f>SUM(EF16:EF25)</f>
        <v>165</v>
      </c>
      <c r="EG26" s="1271"/>
      <c r="EH26" s="1264">
        <f>SUM(EH16:EH25)</f>
        <v>235</v>
      </c>
      <c r="EI26" s="1271"/>
      <c r="EJ26" s="1264">
        <f>SUM(EJ16:EJ25)</f>
        <v>303</v>
      </c>
      <c r="EK26" s="1271"/>
      <c r="EL26" s="1264">
        <f>SUM(EL16:EL25)</f>
        <v>337</v>
      </c>
      <c r="EM26" s="1271"/>
      <c r="EN26" s="1264">
        <f>SUM(EN16:EN25)</f>
        <v>335</v>
      </c>
      <c r="EO26" s="1271"/>
      <c r="EP26" s="1264">
        <f>SUM(EP16:EP25)</f>
        <v>326</v>
      </c>
      <c r="EQ26" s="1271"/>
      <c r="ER26" s="1264">
        <f>SUM(ER16:ER25)</f>
        <v>310</v>
      </c>
      <c r="ES26" s="1271"/>
      <c r="ET26" s="1264">
        <f>SUM(ET16:ET25)</f>
        <v>239</v>
      </c>
      <c r="EU26" s="1271"/>
      <c r="EV26" s="1264">
        <f>SUM(EV16:EV25)</f>
        <v>161</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648</v>
      </c>
      <c r="FN26" s="629"/>
      <c r="FO26" s="629"/>
      <c r="FP26" s="1267"/>
      <c r="FQ26" s="638"/>
      <c r="FR26" s="1264">
        <f>SUM(FR16:FR25)</f>
        <v>1851</v>
      </c>
      <c r="FS26" s="1272"/>
      <c r="FT26" s="638"/>
      <c r="FU26" s="1269">
        <f>SUM(FU16:FU25)</f>
        <v>1899</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v>
      </c>
      <c r="GZ26" s="567"/>
      <c r="HA26" s="517"/>
      <c r="HB26" s="517"/>
      <c r="HC26" s="517"/>
      <c r="HD26" s="635"/>
      <c r="HE26" s="406"/>
      <c r="HF26" s="406"/>
      <c r="HG26" s="567"/>
      <c r="HH26" s="635"/>
      <c r="HI26" s="406"/>
      <c r="HJ26" s="406"/>
    </row>
    <row r="27" spans="1:218" ht="20.100000000000001" customHeight="1">
      <c r="A27" s="1273" t="s">
        <v>366</v>
      </c>
      <c r="B27" s="721"/>
      <c r="C27" s="722"/>
      <c r="D27" s="650"/>
      <c r="E27" s="722"/>
      <c r="F27" s="722"/>
      <c r="G27" s="723" t="s">
        <v>654</v>
      </c>
      <c r="H27" s="650" t="s">
        <v>368</v>
      </c>
      <c r="I27" s="724" t="s">
        <v>654</v>
      </c>
      <c r="J27" s="650" t="s">
        <v>368</v>
      </c>
      <c r="K27" s="725" t="s">
        <v>367</v>
      </c>
      <c r="L27" s="650" t="s">
        <v>368</v>
      </c>
      <c r="M27" s="725" t="s">
        <v>654</v>
      </c>
      <c r="N27" s="650" t="s">
        <v>655</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7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7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v>55</v>
      </c>
      <c r="E28" s="738">
        <v>16</v>
      </c>
      <c r="F28" s="739" t="s">
        <v>373</v>
      </c>
      <c r="G28" s="740"/>
      <c r="H28" s="546"/>
      <c r="I28" s="741"/>
      <c r="J28" s="546"/>
      <c r="K28" s="741"/>
      <c r="L28" s="546"/>
      <c r="M28" s="741"/>
      <c r="N28" s="546"/>
      <c r="O28" s="741"/>
      <c r="P28" s="546"/>
      <c r="Q28" s="741"/>
      <c r="R28" s="546"/>
      <c r="S28" s="741"/>
      <c r="T28" s="546"/>
      <c r="U28" s="741"/>
      <c r="V28" s="546"/>
      <c r="W28" s="741">
        <v>1</v>
      </c>
      <c r="X28" s="546">
        <v>880</v>
      </c>
      <c r="Y28" s="741">
        <v>1</v>
      </c>
      <c r="Z28" s="546">
        <v>880</v>
      </c>
      <c r="AA28" s="741">
        <v>1</v>
      </c>
      <c r="AB28" s="546">
        <v>880</v>
      </c>
      <c r="AC28" s="741">
        <v>1</v>
      </c>
      <c r="AD28" s="546">
        <v>880</v>
      </c>
      <c r="AE28" s="741">
        <v>1</v>
      </c>
      <c r="AF28" s="546">
        <v>880</v>
      </c>
      <c r="AG28" s="741">
        <v>1</v>
      </c>
      <c r="AH28" s="546">
        <v>880</v>
      </c>
      <c r="AI28" s="741">
        <v>1</v>
      </c>
      <c r="AJ28" s="546">
        <v>880</v>
      </c>
      <c r="AK28" s="741">
        <v>1</v>
      </c>
      <c r="AL28" s="546">
        <v>880</v>
      </c>
      <c r="AM28" s="741">
        <v>1</v>
      </c>
      <c r="AN28" s="546">
        <v>880</v>
      </c>
      <c r="AO28" s="741">
        <v>1</v>
      </c>
      <c r="AP28" s="546">
        <v>880</v>
      </c>
      <c r="AQ28" s="741"/>
      <c r="AR28" s="546"/>
      <c r="AS28" s="741"/>
      <c r="AT28" s="546"/>
      <c r="AU28" s="741"/>
      <c r="AV28" s="546"/>
      <c r="AW28" s="741"/>
      <c r="AX28" s="546"/>
      <c r="AY28" s="741"/>
      <c r="AZ28" s="546"/>
      <c r="BA28" s="741"/>
      <c r="BB28" s="667"/>
      <c r="BC28" s="549"/>
      <c r="BD28" s="539"/>
      <c r="BE28" s="735" t="s">
        <v>372</v>
      </c>
      <c r="BF28" s="736"/>
      <c r="BG28" s="737">
        <v>55</v>
      </c>
      <c r="BH28" s="738">
        <v>16</v>
      </c>
      <c r="BI28" s="739" t="s">
        <v>373</v>
      </c>
      <c r="BJ28" s="740"/>
      <c r="BK28" s="546"/>
      <c r="BL28" s="741"/>
      <c r="BM28" s="546"/>
      <c r="BN28" s="741"/>
      <c r="BO28" s="546"/>
      <c r="BP28" s="741"/>
      <c r="BQ28" s="546"/>
      <c r="BR28" s="741"/>
      <c r="BS28" s="546"/>
      <c r="BT28" s="741"/>
      <c r="BU28" s="546"/>
      <c r="BV28" s="741"/>
      <c r="BW28" s="546"/>
      <c r="BX28" s="741"/>
      <c r="BY28" s="546"/>
      <c r="BZ28" s="741">
        <v>1</v>
      </c>
      <c r="CA28" s="546">
        <v>880</v>
      </c>
      <c r="CB28" s="741">
        <v>1</v>
      </c>
      <c r="CC28" s="546">
        <v>880</v>
      </c>
      <c r="CD28" s="741">
        <v>1</v>
      </c>
      <c r="CE28" s="546">
        <v>880</v>
      </c>
      <c r="CF28" s="741">
        <v>1</v>
      </c>
      <c r="CG28" s="546">
        <v>880</v>
      </c>
      <c r="CH28" s="741">
        <v>1</v>
      </c>
      <c r="CI28" s="546">
        <v>880</v>
      </c>
      <c r="CJ28" s="741">
        <v>1</v>
      </c>
      <c r="CK28" s="546">
        <v>880</v>
      </c>
      <c r="CL28" s="741">
        <v>1</v>
      </c>
      <c r="CM28" s="546">
        <v>880</v>
      </c>
      <c r="CN28" s="741">
        <v>1</v>
      </c>
      <c r="CO28" s="546">
        <v>880</v>
      </c>
      <c r="CP28" s="741">
        <v>1</v>
      </c>
      <c r="CQ28" s="546">
        <v>880</v>
      </c>
      <c r="CR28" s="741">
        <v>1</v>
      </c>
      <c r="CS28" s="546">
        <v>880</v>
      </c>
      <c r="CT28" s="741"/>
      <c r="CU28" s="546"/>
      <c r="CV28" s="741"/>
      <c r="CW28" s="546"/>
      <c r="CX28" s="741"/>
      <c r="CY28" s="546"/>
      <c r="CZ28" s="741"/>
      <c r="DA28" s="546"/>
      <c r="DB28" s="741"/>
      <c r="DC28" s="546"/>
      <c r="DD28" s="741"/>
      <c r="DE28" s="667"/>
      <c r="DF28" s="549"/>
      <c r="DG28" s="539"/>
      <c r="DH28" s="735" t="s">
        <v>372</v>
      </c>
      <c r="DI28" s="736"/>
      <c r="DJ28" s="737">
        <v>55</v>
      </c>
      <c r="DK28" s="738">
        <v>16</v>
      </c>
      <c r="DL28" s="739" t="s">
        <v>373</v>
      </c>
      <c r="DM28" s="740"/>
      <c r="DN28" s="546"/>
      <c r="DO28" s="741"/>
      <c r="DP28" s="546"/>
      <c r="DQ28" s="741"/>
      <c r="DR28" s="546"/>
      <c r="DS28" s="741"/>
      <c r="DT28" s="546"/>
      <c r="DU28" s="741"/>
      <c r="DV28" s="546"/>
      <c r="DW28" s="741"/>
      <c r="DX28" s="546"/>
      <c r="DY28" s="741"/>
      <c r="DZ28" s="546"/>
      <c r="EA28" s="741"/>
      <c r="EB28" s="546"/>
      <c r="EC28" s="741">
        <v>1</v>
      </c>
      <c r="ED28" s="546">
        <v>880</v>
      </c>
      <c r="EE28" s="741">
        <v>1</v>
      </c>
      <c r="EF28" s="546">
        <v>880</v>
      </c>
      <c r="EG28" s="741">
        <v>1</v>
      </c>
      <c r="EH28" s="546">
        <v>880</v>
      </c>
      <c r="EI28" s="741">
        <v>1</v>
      </c>
      <c r="EJ28" s="546">
        <v>880</v>
      </c>
      <c r="EK28" s="741">
        <v>1</v>
      </c>
      <c r="EL28" s="546">
        <v>880</v>
      </c>
      <c r="EM28" s="741">
        <v>1</v>
      </c>
      <c r="EN28" s="546">
        <v>880</v>
      </c>
      <c r="EO28" s="741">
        <v>1</v>
      </c>
      <c r="EP28" s="546">
        <v>880</v>
      </c>
      <c r="EQ28" s="741">
        <v>1</v>
      </c>
      <c r="ER28" s="546">
        <v>880</v>
      </c>
      <c r="ES28" s="741">
        <v>1</v>
      </c>
      <c r="ET28" s="546">
        <v>880</v>
      </c>
      <c r="EU28" s="741">
        <v>1</v>
      </c>
      <c r="EV28" s="546">
        <v>880</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20</v>
      </c>
      <c r="E29" s="750">
        <v>108</v>
      </c>
      <c r="F29" s="751" t="s">
        <v>373</v>
      </c>
      <c r="G29" s="752"/>
      <c r="H29" s="574"/>
      <c r="I29" s="753"/>
      <c r="J29" s="574"/>
      <c r="K29" s="753"/>
      <c r="L29" s="574"/>
      <c r="M29" s="753"/>
      <c r="N29" s="574"/>
      <c r="O29" s="753"/>
      <c r="P29" s="574"/>
      <c r="Q29" s="753"/>
      <c r="R29" s="574"/>
      <c r="S29" s="753"/>
      <c r="T29" s="574"/>
      <c r="U29" s="753"/>
      <c r="V29" s="574"/>
      <c r="W29" s="753">
        <v>1</v>
      </c>
      <c r="X29" s="574">
        <v>2160</v>
      </c>
      <c r="Y29" s="753">
        <v>1</v>
      </c>
      <c r="Z29" s="574">
        <v>2160</v>
      </c>
      <c r="AA29" s="753">
        <v>1</v>
      </c>
      <c r="AB29" s="574">
        <v>2160</v>
      </c>
      <c r="AC29" s="753">
        <v>1</v>
      </c>
      <c r="AD29" s="574">
        <v>2160</v>
      </c>
      <c r="AE29" s="753">
        <v>1</v>
      </c>
      <c r="AF29" s="574">
        <v>2160</v>
      </c>
      <c r="AG29" s="753">
        <v>1</v>
      </c>
      <c r="AH29" s="574">
        <v>2160</v>
      </c>
      <c r="AI29" s="753">
        <v>1</v>
      </c>
      <c r="AJ29" s="574">
        <v>2160</v>
      </c>
      <c r="AK29" s="753">
        <v>1</v>
      </c>
      <c r="AL29" s="574">
        <v>2160</v>
      </c>
      <c r="AM29" s="753">
        <v>1</v>
      </c>
      <c r="AN29" s="574">
        <v>2160</v>
      </c>
      <c r="AO29" s="753">
        <v>1</v>
      </c>
      <c r="AP29" s="574">
        <v>2160</v>
      </c>
      <c r="AQ29" s="753"/>
      <c r="AR29" s="574"/>
      <c r="AS29" s="753"/>
      <c r="AT29" s="574"/>
      <c r="AU29" s="753"/>
      <c r="AV29" s="574"/>
      <c r="AW29" s="753"/>
      <c r="AX29" s="574"/>
      <c r="AY29" s="753"/>
      <c r="AZ29" s="574"/>
      <c r="BA29" s="753"/>
      <c r="BB29" s="576"/>
      <c r="BC29" s="549"/>
      <c r="BD29" s="539"/>
      <c r="BE29" s="747" t="s">
        <v>374</v>
      </c>
      <c r="BF29" s="748"/>
      <c r="BG29" s="749">
        <v>20</v>
      </c>
      <c r="BH29" s="750">
        <v>108</v>
      </c>
      <c r="BI29" s="751" t="s">
        <v>373</v>
      </c>
      <c r="BJ29" s="752"/>
      <c r="BK29" s="574"/>
      <c r="BL29" s="753"/>
      <c r="BM29" s="574"/>
      <c r="BN29" s="753"/>
      <c r="BO29" s="574"/>
      <c r="BP29" s="753"/>
      <c r="BQ29" s="574"/>
      <c r="BR29" s="753"/>
      <c r="BS29" s="574"/>
      <c r="BT29" s="753"/>
      <c r="BU29" s="574"/>
      <c r="BV29" s="753"/>
      <c r="BW29" s="574"/>
      <c r="BX29" s="753"/>
      <c r="BY29" s="574"/>
      <c r="BZ29" s="753">
        <v>1</v>
      </c>
      <c r="CA29" s="574">
        <v>2160</v>
      </c>
      <c r="CB29" s="753">
        <v>1</v>
      </c>
      <c r="CC29" s="574">
        <v>2160</v>
      </c>
      <c r="CD29" s="753">
        <v>1</v>
      </c>
      <c r="CE29" s="574">
        <v>2160</v>
      </c>
      <c r="CF29" s="753">
        <v>1</v>
      </c>
      <c r="CG29" s="574">
        <v>2160</v>
      </c>
      <c r="CH29" s="753">
        <v>1</v>
      </c>
      <c r="CI29" s="574">
        <v>2160</v>
      </c>
      <c r="CJ29" s="753">
        <v>1</v>
      </c>
      <c r="CK29" s="574">
        <v>2160</v>
      </c>
      <c r="CL29" s="753">
        <v>1</v>
      </c>
      <c r="CM29" s="574">
        <v>2160</v>
      </c>
      <c r="CN29" s="753">
        <v>1</v>
      </c>
      <c r="CO29" s="574">
        <v>2160</v>
      </c>
      <c r="CP29" s="753">
        <v>1</v>
      </c>
      <c r="CQ29" s="574">
        <v>2160</v>
      </c>
      <c r="CR29" s="753">
        <v>1</v>
      </c>
      <c r="CS29" s="574">
        <v>2160</v>
      </c>
      <c r="CT29" s="753"/>
      <c r="CU29" s="574"/>
      <c r="CV29" s="753"/>
      <c r="CW29" s="574"/>
      <c r="CX29" s="753"/>
      <c r="CY29" s="574"/>
      <c r="CZ29" s="753"/>
      <c r="DA29" s="574"/>
      <c r="DB29" s="753"/>
      <c r="DC29" s="574"/>
      <c r="DD29" s="753"/>
      <c r="DE29" s="576"/>
      <c r="DF29" s="549"/>
      <c r="DG29" s="539"/>
      <c r="DH29" s="747" t="s">
        <v>374</v>
      </c>
      <c r="DI29" s="748"/>
      <c r="DJ29" s="749">
        <v>20</v>
      </c>
      <c r="DK29" s="750">
        <v>108</v>
      </c>
      <c r="DL29" s="751" t="s">
        <v>373</v>
      </c>
      <c r="DM29" s="752"/>
      <c r="DN29" s="574"/>
      <c r="DO29" s="753"/>
      <c r="DP29" s="574"/>
      <c r="DQ29" s="753"/>
      <c r="DR29" s="574"/>
      <c r="DS29" s="753"/>
      <c r="DT29" s="574"/>
      <c r="DU29" s="753"/>
      <c r="DV29" s="574"/>
      <c r="DW29" s="753"/>
      <c r="DX29" s="574"/>
      <c r="DY29" s="753"/>
      <c r="DZ29" s="574"/>
      <c r="EA29" s="753"/>
      <c r="EB29" s="574"/>
      <c r="EC29" s="753">
        <v>1</v>
      </c>
      <c r="ED29" s="574">
        <v>2160</v>
      </c>
      <c r="EE29" s="753">
        <v>1</v>
      </c>
      <c r="EF29" s="574">
        <v>2160</v>
      </c>
      <c r="EG29" s="753">
        <v>1</v>
      </c>
      <c r="EH29" s="574">
        <v>2160</v>
      </c>
      <c r="EI29" s="753">
        <v>1</v>
      </c>
      <c r="EJ29" s="574">
        <v>2160</v>
      </c>
      <c r="EK29" s="753">
        <v>1</v>
      </c>
      <c r="EL29" s="574">
        <v>2160</v>
      </c>
      <c r="EM29" s="753">
        <v>1</v>
      </c>
      <c r="EN29" s="574">
        <v>2160</v>
      </c>
      <c r="EO29" s="753">
        <v>1</v>
      </c>
      <c r="EP29" s="574">
        <v>2160</v>
      </c>
      <c r="EQ29" s="753">
        <v>1</v>
      </c>
      <c r="ER29" s="574">
        <v>2160</v>
      </c>
      <c r="ES29" s="753">
        <v>1</v>
      </c>
      <c r="ET29" s="574">
        <v>2160</v>
      </c>
      <c r="EU29" s="753">
        <v>1</v>
      </c>
      <c r="EV29" s="574">
        <v>2160</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v>25</v>
      </c>
      <c r="D30" s="750">
        <v>108</v>
      </c>
      <c r="E30" s="759">
        <v>0.6</v>
      </c>
      <c r="F30" s="760" t="s">
        <v>373</v>
      </c>
      <c r="G30" s="752"/>
      <c r="H30" s="574"/>
      <c r="I30" s="753"/>
      <c r="J30" s="574"/>
      <c r="K30" s="753"/>
      <c r="L30" s="574"/>
      <c r="M30" s="753"/>
      <c r="N30" s="574"/>
      <c r="O30" s="753"/>
      <c r="P30" s="574"/>
      <c r="Q30" s="753"/>
      <c r="R30" s="574"/>
      <c r="S30" s="753"/>
      <c r="T30" s="574"/>
      <c r="U30" s="753"/>
      <c r="V30" s="574"/>
      <c r="W30" s="753">
        <v>1</v>
      </c>
      <c r="X30" s="574">
        <v>1620</v>
      </c>
      <c r="Y30" s="753">
        <v>1</v>
      </c>
      <c r="Z30" s="574">
        <v>1620</v>
      </c>
      <c r="AA30" s="753">
        <v>1</v>
      </c>
      <c r="AB30" s="574">
        <v>1620</v>
      </c>
      <c r="AC30" s="753">
        <v>1</v>
      </c>
      <c r="AD30" s="574">
        <v>1620</v>
      </c>
      <c r="AE30" s="753">
        <v>1</v>
      </c>
      <c r="AF30" s="574">
        <v>1620</v>
      </c>
      <c r="AG30" s="753">
        <v>1</v>
      </c>
      <c r="AH30" s="574">
        <v>1620</v>
      </c>
      <c r="AI30" s="753">
        <v>1</v>
      </c>
      <c r="AJ30" s="574">
        <v>1620</v>
      </c>
      <c r="AK30" s="753">
        <v>1</v>
      </c>
      <c r="AL30" s="574">
        <v>1620</v>
      </c>
      <c r="AM30" s="753">
        <v>1</v>
      </c>
      <c r="AN30" s="574">
        <v>1620</v>
      </c>
      <c r="AO30" s="753">
        <v>1</v>
      </c>
      <c r="AP30" s="574">
        <v>1620</v>
      </c>
      <c r="AQ30" s="753"/>
      <c r="AR30" s="574"/>
      <c r="AS30" s="753"/>
      <c r="AT30" s="574"/>
      <c r="AU30" s="753"/>
      <c r="AV30" s="574"/>
      <c r="AW30" s="753"/>
      <c r="AX30" s="574"/>
      <c r="AY30" s="753"/>
      <c r="AZ30" s="574"/>
      <c r="BA30" s="753"/>
      <c r="BB30" s="576"/>
      <c r="BC30" s="549"/>
      <c r="BD30" s="539"/>
      <c r="BE30" s="747" t="s">
        <v>375</v>
      </c>
      <c r="BF30" s="749">
        <v>25</v>
      </c>
      <c r="BG30" s="750">
        <v>108</v>
      </c>
      <c r="BH30" s="759">
        <v>0.6</v>
      </c>
      <c r="BI30" s="760" t="s">
        <v>373</v>
      </c>
      <c r="BJ30" s="752"/>
      <c r="BK30" s="574"/>
      <c r="BL30" s="753"/>
      <c r="BM30" s="574"/>
      <c r="BN30" s="753"/>
      <c r="BO30" s="574"/>
      <c r="BP30" s="753"/>
      <c r="BQ30" s="574"/>
      <c r="BR30" s="753"/>
      <c r="BS30" s="574"/>
      <c r="BT30" s="753"/>
      <c r="BU30" s="574"/>
      <c r="BV30" s="753"/>
      <c r="BW30" s="574"/>
      <c r="BX30" s="753"/>
      <c r="BY30" s="574"/>
      <c r="BZ30" s="753">
        <v>1</v>
      </c>
      <c r="CA30" s="574">
        <v>1620</v>
      </c>
      <c r="CB30" s="753">
        <v>1</v>
      </c>
      <c r="CC30" s="574">
        <v>1620</v>
      </c>
      <c r="CD30" s="753">
        <v>1</v>
      </c>
      <c r="CE30" s="574">
        <v>1620</v>
      </c>
      <c r="CF30" s="753">
        <v>1</v>
      </c>
      <c r="CG30" s="574">
        <v>1620</v>
      </c>
      <c r="CH30" s="753">
        <v>1</v>
      </c>
      <c r="CI30" s="574">
        <v>1620</v>
      </c>
      <c r="CJ30" s="753">
        <v>1</v>
      </c>
      <c r="CK30" s="574">
        <v>1620</v>
      </c>
      <c r="CL30" s="753">
        <v>1</v>
      </c>
      <c r="CM30" s="574">
        <v>1620</v>
      </c>
      <c r="CN30" s="753">
        <v>1</v>
      </c>
      <c r="CO30" s="574">
        <v>1620</v>
      </c>
      <c r="CP30" s="753">
        <v>1</v>
      </c>
      <c r="CQ30" s="574">
        <v>1620</v>
      </c>
      <c r="CR30" s="753">
        <v>1</v>
      </c>
      <c r="CS30" s="574">
        <v>1620</v>
      </c>
      <c r="CT30" s="753"/>
      <c r="CU30" s="574"/>
      <c r="CV30" s="753"/>
      <c r="CW30" s="574"/>
      <c r="CX30" s="753"/>
      <c r="CY30" s="574"/>
      <c r="CZ30" s="753"/>
      <c r="DA30" s="574"/>
      <c r="DB30" s="753"/>
      <c r="DC30" s="574"/>
      <c r="DD30" s="753"/>
      <c r="DE30" s="576"/>
      <c r="DF30" s="549"/>
      <c r="DG30" s="539"/>
      <c r="DH30" s="747" t="s">
        <v>375</v>
      </c>
      <c r="DI30" s="749">
        <v>25</v>
      </c>
      <c r="DJ30" s="750">
        <v>108</v>
      </c>
      <c r="DK30" s="759">
        <v>0.6</v>
      </c>
      <c r="DL30" s="760" t="s">
        <v>373</v>
      </c>
      <c r="DM30" s="752"/>
      <c r="DN30" s="574"/>
      <c r="DO30" s="753"/>
      <c r="DP30" s="574"/>
      <c r="DQ30" s="753"/>
      <c r="DR30" s="574"/>
      <c r="DS30" s="753"/>
      <c r="DT30" s="574"/>
      <c r="DU30" s="753"/>
      <c r="DV30" s="574"/>
      <c r="DW30" s="753"/>
      <c r="DX30" s="574"/>
      <c r="DY30" s="753"/>
      <c r="DZ30" s="574"/>
      <c r="EA30" s="753"/>
      <c r="EB30" s="574"/>
      <c r="EC30" s="753">
        <v>1</v>
      </c>
      <c r="ED30" s="574">
        <v>1620</v>
      </c>
      <c r="EE30" s="753">
        <v>1</v>
      </c>
      <c r="EF30" s="574">
        <v>1620</v>
      </c>
      <c r="EG30" s="753">
        <v>1</v>
      </c>
      <c r="EH30" s="574">
        <v>1620</v>
      </c>
      <c r="EI30" s="753">
        <v>1</v>
      </c>
      <c r="EJ30" s="574">
        <v>1620</v>
      </c>
      <c r="EK30" s="753">
        <v>1</v>
      </c>
      <c r="EL30" s="574">
        <v>1620</v>
      </c>
      <c r="EM30" s="753">
        <v>1</v>
      </c>
      <c r="EN30" s="574">
        <v>1620</v>
      </c>
      <c r="EO30" s="753">
        <v>1</v>
      </c>
      <c r="EP30" s="574">
        <v>1620</v>
      </c>
      <c r="EQ30" s="753">
        <v>1</v>
      </c>
      <c r="ER30" s="574">
        <v>1620</v>
      </c>
      <c r="ES30" s="753">
        <v>1</v>
      </c>
      <c r="ET30" s="574">
        <v>1620</v>
      </c>
      <c r="EU30" s="753">
        <v>1</v>
      </c>
      <c r="EV30" s="574">
        <v>1620</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65"/>
      <c r="J33" s="1264">
        <v>0</v>
      </c>
      <c r="K33" s="1265"/>
      <c r="L33" s="1264">
        <v>0</v>
      </c>
      <c r="M33" s="1265"/>
      <c r="N33" s="1264">
        <v>0</v>
      </c>
      <c r="O33" s="1265"/>
      <c r="P33" s="1264">
        <v>0</v>
      </c>
      <c r="Q33" s="1265"/>
      <c r="R33" s="1264">
        <v>0</v>
      </c>
      <c r="S33" s="1265"/>
      <c r="T33" s="1264">
        <v>0</v>
      </c>
      <c r="U33" s="1265"/>
      <c r="V33" s="1264">
        <v>0</v>
      </c>
      <c r="W33" s="1265"/>
      <c r="X33" s="1264">
        <v>4660</v>
      </c>
      <c r="Y33" s="1265"/>
      <c r="Z33" s="1264">
        <v>4660</v>
      </c>
      <c r="AA33" s="1265"/>
      <c r="AB33" s="1264">
        <v>4660</v>
      </c>
      <c r="AC33" s="1265"/>
      <c r="AD33" s="1264">
        <v>4660</v>
      </c>
      <c r="AE33" s="1265"/>
      <c r="AF33" s="1264">
        <v>4660</v>
      </c>
      <c r="AG33" s="1265"/>
      <c r="AH33" s="1264">
        <v>4660</v>
      </c>
      <c r="AI33" s="1265"/>
      <c r="AJ33" s="1264">
        <v>4660</v>
      </c>
      <c r="AK33" s="1265"/>
      <c r="AL33" s="1264">
        <v>4660</v>
      </c>
      <c r="AM33" s="1265"/>
      <c r="AN33" s="1264">
        <v>4660</v>
      </c>
      <c r="AO33" s="1265"/>
      <c r="AP33" s="1264">
        <v>4660</v>
      </c>
      <c r="AQ33" s="1265"/>
      <c r="AR33" s="1264">
        <v>0</v>
      </c>
      <c r="AS33" s="1265"/>
      <c r="AT33" s="1264">
        <v>0</v>
      </c>
      <c r="AU33" s="1265"/>
      <c r="AV33" s="1264">
        <v>0</v>
      </c>
      <c r="AW33" s="1265"/>
      <c r="AX33" s="1264">
        <v>0</v>
      </c>
      <c r="AY33" s="1265"/>
      <c r="AZ33" s="1264">
        <v>0</v>
      </c>
      <c r="BA33" s="1265"/>
      <c r="BB33" s="1266">
        <v>0</v>
      </c>
      <c r="BC33" s="635"/>
      <c r="BD33" s="628"/>
      <c r="BE33" s="629"/>
      <c r="BF33" s="629"/>
      <c r="BG33" s="630" t="s">
        <v>378</v>
      </c>
      <c r="BH33" s="629"/>
      <c r="BI33" s="629"/>
      <c r="BJ33" s="1263"/>
      <c r="BK33" s="1264">
        <v>0</v>
      </c>
      <c r="BL33" s="1265"/>
      <c r="BM33" s="1264">
        <v>0</v>
      </c>
      <c r="BN33" s="1265"/>
      <c r="BO33" s="1264">
        <v>0</v>
      </c>
      <c r="BP33" s="1265"/>
      <c r="BQ33" s="1264">
        <v>0</v>
      </c>
      <c r="BR33" s="1265"/>
      <c r="BS33" s="1264">
        <v>0</v>
      </c>
      <c r="BT33" s="1265"/>
      <c r="BU33" s="1264">
        <v>0</v>
      </c>
      <c r="BV33" s="1265"/>
      <c r="BW33" s="1264">
        <v>0</v>
      </c>
      <c r="BX33" s="1265"/>
      <c r="BY33" s="1264">
        <v>0</v>
      </c>
      <c r="BZ33" s="1265"/>
      <c r="CA33" s="1264">
        <v>4660</v>
      </c>
      <c r="CB33" s="1265"/>
      <c r="CC33" s="1264">
        <v>4660</v>
      </c>
      <c r="CD33" s="1265"/>
      <c r="CE33" s="1264">
        <v>4660</v>
      </c>
      <c r="CF33" s="1265"/>
      <c r="CG33" s="1264">
        <v>4660</v>
      </c>
      <c r="CH33" s="1265"/>
      <c r="CI33" s="1264">
        <v>4660</v>
      </c>
      <c r="CJ33" s="1265"/>
      <c r="CK33" s="1264">
        <v>4660</v>
      </c>
      <c r="CL33" s="1265"/>
      <c r="CM33" s="1264">
        <v>4660</v>
      </c>
      <c r="CN33" s="1265"/>
      <c r="CO33" s="1264">
        <v>4660</v>
      </c>
      <c r="CP33" s="1265"/>
      <c r="CQ33" s="1264">
        <v>4660</v>
      </c>
      <c r="CR33" s="1265"/>
      <c r="CS33" s="1264">
        <v>4660</v>
      </c>
      <c r="CT33" s="1265"/>
      <c r="CU33" s="1264">
        <v>0</v>
      </c>
      <c r="CV33" s="1265"/>
      <c r="CW33" s="1264">
        <v>0</v>
      </c>
      <c r="CX33" s="1265"/>
      <c r="CY33" s="1264">
        <v>0</v>
      </c>
      <c r="CZ33" s="1265"/>
      <c r="DA33" s="1264">
        <v>0</v>
      </c>
      <c r="DB33" s="1265"/>
      <c r="DC33" s="1264">
        <v>0</v>
      </c>
      <c r="DD33" s="1265"/>
      <c r="DE33" s="1266">
        <v>0</v>
      </c>
      <c r="DF33" s="635"/>
      <c r="DG33" s="628"/>
      <c r="DH33" s="629"/>
      <c r="DI33" s="629"/>
      <c r="DJ33" s="630" t="s">
        <v>378</v>
      </c>
      <c r="DK33" s="629"/>
      <c r="DL33" s="629"/>
      <c r="DM33" s="1263"/>
      <c r="DN33" s="1264">
        <v>0</v>
      </c>
      <c r="DO33" s="1265"/>
      <c r="DP33" s="1264">
        <v>0</v>
      </c>
      <c r="DQ33" s="1265"/>
      <c r="DR33" s="1264">
        <v>0</v>
      </c>
      <c r="DS33" s="1265"/>
      <c r="DT33" s="1264">
        <v>0</v>
      </c>
      <c r="DU33" s="1265"/>
      <c r="DV33" s="1264">
        <v>0</v>
      </c>
      <c r="DW33" s="1265"/>
      <c r="DX33" s="1264">
        <v>0</v>
      </c>
      <c r="DY33" s="1265"/>
      <c r="DZ33" s="1264">
        <v>0</v>
      </c>
      <c r="EA33" s="1265"/>
      <c r="EB33" s="1264">
        <v>0</v>
      </c>
      <c r="EC33" s="1265"/>
      <c r="ED33" s="1264">
        <v>4660</v>
      </c>
      <c r="EE33" s="1265"/>
      <c r="EF33" s="1264">
        <v>4660</v>
      </c>
      <c r="EG33" s="1265"/>
      <c r="EH33" s="1264">
        <v>4660</v>
      </c>
      <c r="EI33" s="1265"/>
      <c r="EJ33" s="1264">
        <v>4660</v>
      </c>
      <c r="EK33" s="1265"/>
      <c r="EL33" s="1264">
        <v>4660</v>
      </c>
      <c r="EM33" s="1265"/>
      <c r="EN33" s="1264">
        <v>4660</v>
      </c>
      <c r="EO33" s="1265"/>
      <c r="EP33" s="1264">
        <v>4660</v>
      </c>
      <c r="EQ33" s="1265"/>
      <c r="ER33" s="1264">
        <v>4660</v>
      </c>
      <c r="ES33" s="1265"/>
      <c r="ET33" s="1264">
        <v>4660</v>
      </c>
      <c r="EU33" s="1265"/>
      <c r="EV33" s="1264">
        <v>4660</v>
      </c>
      <c r="EW33" s="1265"/>
      <c r="EX33" s="1264">
        <v>0</v>
      </c>
      <c r="EY33" s="1265"/>
      <c r="EZ33" s="1264">
        <v>0</v>
      </c>
      <c r="FA33" s="1265"/>
      <c r="FB33" s="1264">
        <v>0</v>
      </c>
      <c r="FC33" s="1265"/>
      <c r="FD33" s="1264">
        <v>0</v>
      </c>
      <c r="FE33" s="1265"/>
      <c r="FF33" s="1264">
        <v>0</v>
      </c>
      <c r="FG33" s="1265"/>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208</v>
      </c>
      <c r="GV33" s="795"/>
      <c r="GW33" s="796">
        <v>46.31</v>
      </c>
      <c r="GX33" s="797">
        <v>28.76</v>
      </c>
      <c r="GY33" s="797">
        <v>33.83</v>
      </c>
      <c r="GZ33" s="797">
        <v>0</v>
      </c>
      <c r="HA33" s="797">
        <v>108.9</v>
      </c>
      <c r="HB33" s="798">
        <v>108</v>
      </c>
      <c r="HC33" s="404"/>
      <c r="HD33" s="635"/>
      <c r="HE33" s="406"/>
      <c r="HF33" s="406"/>
    </row>
    <row r="34" spans="1:219" ht="20.100000000000001" customHeight="1">
      <c r="A34" s="127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7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7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459</v>
      </c>
      <c r="GL34" s="807"/>
      <c r="GM34" s="807"/>
      <c r="GN34" s="807"/>
      <c r="GO34" s="807"/>
      <c r="GP34" s="807"/>
      <c r="GQ34" s="602">
        <v>8.5</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76">
        <v>0</v>
      </c>
      <c r="I36" s="1277"/>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79">
        <v>0</v>
      </c>
      <c r="BC36" s="635"/>
      <c r="BD36" s="811"/>
      <c r="BE36" s="629"/>
      <c r="BF36" s="629"/>
      <c r="BG36" s="630" t="s">
        <v>382</v>
      </c>
      <c r="BH36" s="629"/>
      <c r="BI36" s="629"/>
      <c r="BJ36" s="1275"/>
      <c r="BK36" s="1276">
        <v>0</v>
      </c>
      <c r="BL36" s="1277"/>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79">
        <v>0</v>
      </c>
      <c r="DF36" s="635"/>
      <c r="DG36" s="811"/>
      <c r="DH36" s="629"/>
      <c r="DI36" s="629"/>
      <c r="DJ36" s="630" t="s">
        <v>382</v>
      </c>
      <c r="DK36" s="629"/>
      <c r="DL36" s="629"/>
      <c r="DM36" s="1275"/>
      <c r="DN36" s="1276">
        <v>0</v>
      </c>
      <c r="DO36" s="1277"/>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79">
        <v>0</v>
      </c>
      <c r="FI36" s="636"/>
      <c r="FJ36" s="820"/>
      <c r="FK36" s="629"/>
      <c r="FL36" s="629"/>
      <c r="FM36" s="630" t="s">
        <v>382</v>
      </c>
      <c r="FN36" s="629"/>
      <c r="FO36" s="629"/>
      <c r="FP36" s="1267"/>
      <c r="FQ36" s="1277"/>
      <c r="FR36" s="1276">
        <v>0</v>
      </c>
      <c r="FS36" s="1280"/>
      <c r="FT36" s="1277"/>
      <c r="FU36" s="128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108.9</v>
      </c>
      <c r="HB38" s="854">
        <v>108</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1.01</v>
      </c>
      <c r="HB39" s="566"/>
      <c r="HC39" s="517"/>
      <c r="HD39" s="549"/>
    </row>
    <row r="40" spans="1:219" ht="20.100000000000001" customHeight="1">
      <c r="A40" s="868"/>
      <c r="B40" s="629"/>
      <c r="C40" s="629"/>
      <c r="D40" s="630" t="s">
        <v>393</v>
      </c>
      <c r="E40" s="629"/>
      <c r="F40" s="629"/>
      <c r="G40" s="1275"/>
      <c r="H40" s="1276">
        <v>0</v>
      </c>
      <c r="I40" s="1277"/>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79">
        <v>0</v>
      </c>
      <c r="BC40" s="635"/>
      <c r="BD40" s="868"/>
      <c r="BE40" s="629"/>
      <c r="BF40" s="629"/>
      <c r="BG40" s="630" t="s">
        <v>393</v>
      </c>
      <c r="BH40" s="629"/>
      <c r="BI40" s="629"/>
      <c r="BJ40" s="1275"/>
      <c r="BK40" s="1276">
        <v>0</v>
      </c>
      <c r="BL40" s="1277"/>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79">
        <v>0</v>
      </c>
      <c r="DF40" s="635"/>
      <c r="DG40" s="868"/>
      <c r="DH40" s="629"/>
      <c r="DI40" s="629"/>
      <c r="DJ40" s="630" t="s">
        <v>393</v>
      </c>
      <c r="DK40" s="629"/>
      <c r="DL40" s="629"/>
      <c r="DM40" s="1275"/>
      <c r="DN40" s="1276">
        <v>0</v>
      </c>
      <c r="DO40" s="1277"/>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79">
        <v>0</v>
      </c>
      <c r="FI40" s="636"/>
      <c r="FJ40" s="820"/>
      <c r="FK40" s="629"/>
      <c r="FL40" s="629"/>
      <c r="FM40" s="630" t="s">
        <v>393</v>
      </c>
      <c r="FN40" s="629"/>
      <c r="FO40" s="629"/>
      <c r="FP40" s="1267"/>
      <c r="FQ40" s="1277"/>
      <c r="FR40" s="1276">
        <v>0</v>
      </c>
      <c r="FS40" s="1280"/>
      <c r="FT40" s="1277"/>
      <c r="FU40" s="128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657</v>
      </c>
      <c r="GV40" s="517"/>
      <c r="GW40" s="517"/>
      <c r="GX40" s="517"/>
      <c r="GY40" s="517"/>
      <c r="GZ40" s="517"/>
      <c r="HA40" s="873">
        <v>24.2</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552</v>
      </c>
      <c r="GV41" s="517"/>
      <c r="GW41" s="517"/>
      <c r="GX41" s="517"/>
      <c r="GY41" s="517"/>
      <c r="GZ41" s="517"/>
      <c r="HA41" s="873">
        <v>21.8</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918</v>
      </c>
      <c r="Y42" s="818"/>
      <c r="Z42" s="782">
        <v>551</v>
      </c>
      <c r="AA42" s="818"/>
      <c r="AB42" s="782">
        <v>508</v>
      </c>
      <c r="AC42" s="818"/>
      <c r="AD42" s="782">
        <v>464</v>
      </c>
      <c r="AE42" s="818"/>
      <c r="AF42" s="782">
        <v>432</v>
      </c>
      <c r="AG42" s="818"/>
      <c r="AH42" s="782">
        <v>389</v>
      </c>
      <c r="AI42" s="818"/>
      <c r="AJ42" s="782">
        <v>367</v>
      </c>
      <c r="AK42" s="818"/>
      <c r="AL42" s="782">
        <v>335</v>
      </c>
      <c r="AM42" s="818"/>
      <c r="AN42" s="782">
        <v>302</v>
      </c>
      <c r="AO42" s="818"/>
      <c r="AP42" s="782">
        <v>281</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918</v>
      </c>
      <c r="CB42" s="818"/>
      <c r="CC42" s="782">
        <v>551</v>
      </c>
      <c r="CD42" s="818"/>
      <c r="CE42" s="782">
        <v>508</v>
      </c>
      <c r="CF42" s="818"/>
      <c r="CG42" s="782">
        <v>464</v>
      </c>
      <c r="CH42" s="818"/>
      <c r="CI42" s="782">
        <v>432</v>
      </c>
      <c r="CJ42" s="818"/>
      <c r="CK42" s="782">
        <v>389</v>
      </c>
      <c r="CL42" s="818"/>
      <c r="CM42" s="782">
        <v>367</v>
      </c>
      <c r="CN42" s="818"/>
      <c r="CO42" s="782">
        <v>335</v>
      </c>
      <c r="CP42" s="818"/>
      <c r="CQ42" s="782">
        <v>302</v>
      </c>
      <c r="CR42" s="818"/>
      <c r="CS42" s="782">
        <v>281</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918</v>
      </c>
      <c r="EE42" s="818"/>
      <c r="EF42" s="782">
        <v>551</v>
      </c>
      <c r="EG42" s="818"/>
      <c r="EH42" s="782">
        <v>508</v>
      </c>
      <c r="EI42" s="818"/>
      <c r="EJ42" s="782">
        <v>464</v>
      </c>
      <c r="EK42" s="818"/>
      <c r="EL42" s="782">
        <v>432</v>
      </c>
      <c r="EM42" s="818"/>
      <c r="EN42" s="782">
        <v>389</v>
      </c>
      <c r="EO42" s="818"/>
      <c r="EP42" s="782">
        <v>367</v>
      </c>
      <c r="EQ42" s="818"/>
      <c r="ER42" s="782">
        <v>335</v>
      </c>
      <c r="ES42" s="818"/>
      <c r="ET42" s="782">
        <v>302</v>
      </c>
      <c r="EU42" s="818"/>
      <c r="EV42" s="782">
        <v>281</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65</v>
      </c>
      <c r="FS42" s="822"/>
      <c r="FT42" s="817"/>
      <c r="FU42" s="788">
        <v>65</v>
      </c>
      <c r="FV42" s="580"/>
      <c r="FW42" s="581"/>
      <c r="FX42" s="789"/>
      <c r="FY42" s="583"/>
      <c r="FZ42" s="790"/>
      <c r="GA42" s="585"/>
      <c r="GB42" s="791"/>
      <c r="GC42" s="587"/>
      <c r="GD42" s="791"/>
      <c r="GE42" s="588"/>
      <c r="GF42" s="823"/>
      <c r="GG42" s="589"/>
      <c r="GH42" s="589"/>
      <c r="GI42" s="589"/>
      <c r="GJ42" s="400"/>
      <c r="GK42" s="887"/>
      <c r="GL42" s="888"/>
      <c r="GM42" s="889">
        <v>8.5</v>
      </c>
      <c r="GN42" s="889"/>
      <c r="GO42" s="889">
        <v>0</v>
      </c>
      <c r="GP42" s="889"/>
      <c r="GQ42" s="889">
        <v>8.5</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76">
        <v>0</v>
      </c>
      <c r="I44" s="1277"/>
      <c r="J44" s="827">
        <v>0</v>
      </c>
      <c r="K44" s="1278"/>
      <c r="L44" s="827">
        <v>0</v>
      </c>
      <c r="M44" s="1278"/>
      <c r="N44" s="827">
        <v>0</v>
      </c>
      <c r="O44" s="1278"/>
      <c r="P44" s="827">
        <v>0</v>
      </c>
      <c r="Q44" s="1278"/>
      <c r="R44" s="827">
        <v>0</v>
      </c>
      <c r="S44" s="1278"/>
      <c r="T44" s="827">
        <v>0</v>
      </c>
      <c r="U44" s="1278"/>
      <c r="V44" s="827">
        <v>0</v>
      </c>
      <c r="W44" s="1278"/>
      <c r="X44" s="827">
        <v>918</v>
      </c>
      <c r="Y44" s="1278"/>
      <c r="Z44" s="827">
        <v>551</v>
      </c>
      <c r="AA44" s="1278"/>
      <c r="AB44" s="827">
        <v>508</v>
      </c>
      <c r="AC44" s="1278"/>
      <c r="AD44" s="827">
        <v>464</v>
      </c>
      <c r="AE44" s="1278"/>
      <c r="AF44" s="827">
        <v>432</v>
      </c>
      <c r="AG44" s="1278"/>
      <c r="AH44" s="827">
        <v>389</v>
      </c>
      <c r="AI44" s="1278"/>
      <c r="AJ44" s="827">
        <v>367</v>
      </c>
      <c r="AK44" s="1278"/>
      <c r="AL44" s="827">
        <v>335</v>
      </c>
      <c r="AM44" s="1278"/>
      <c r="AN44" s="827">
        <v>302</v>
      </c>
      <c r="AO44" s="1278"/>
      <c r="AP44" s="827">
        <v>281</v>
      </c>
      <c r="AQ44" s="1278"/>
      <c r="AR44" s="827">
        <v>0</v>
      </c>
      <c r="AS44" s="1278"/>
      <c r="AT44" s="827">
        <v>0</v>
      </c>
      <c r="AU44" s="1278"/>
      <c r="AV44" s="827">
        <v>0</v>
      </c>
      <c r="AW44" s="1278"/>
      <c r="AX44" s="827">
        <v>0</v>
      </c>
      <c r="AY44" s="1278"/>
      <c r="AZ44" s="827">
        <v>0</v>
      </c>
      <c r="BA44" s="1278"/>
      <c r="BB44" s="1279">
        <v>0</v>
      </c>
      <c r="BC44" s="635"/>
      <c r="BD44" s="912"/>
      <c r="BE44" s="629"/>
      <c r="BF44" s="629"/>
      <c r="BG44" s="630" t="s">
        <v>397</v>
      </c>
      <c r="BH44" s="629"/>
      <c r="BI44" s="629"/>
      <c r="BJ44" s="1275"/>
      <c r="BK44" s="1276">
        <v>0</v>
      </c>
      <c r="BL44" s="1277"/>
      <c r="BM44" s="827">
        <v>0</v>
      </c>
      <c r="BN44" s="1278"/>
      <c r="BO44" s="827">
        <v>0</v>
      </c>
      <c r="BP44" s="1278"/>
      <c r="BQ44" s="827">
        <v>0</v>
      </c>
      <c r="BR44" s="1278"/>
      <c r="BS44" s="827">
        <v>0</v>
      </c>
      <c r="BT44" s="1278"/>
      <c r="BU44" s="827">
        <v>0</v>
      </c>
      <c r="BV44" s="1278"/>
      <c r="BW44" s="827">
        <v>0</v>
      </c>
      <c r="BX44" s="1278"/>
      <c r="BY44" s="827">
        <v>0</v>
      </c>
      <c r="BZ44" s="1278"/>
      <c r="CA44" s="827">
        <v>918</v>
      </c>
      <c r="CB44" s="1278"/>
      <c r="CC44" s="827">
        <v>551</v>
      </c>
      <c r="CD44" s="1278"/>
      <c r="CE44" s="827">
        <v>508</v>
      </c>
      <c r="CF44" s="1278"/>
      <c r="CG44" s="827">
        <v>464</v>
      </c>
      <c r="CH44" s="1278"/>
      <c r="CI44" s="827">
        <v>432</v>
      </c>
      <c r="CJ44" s="1278"/>
      <c r="CK44" s="827">
        <v>389</v>
      </c>
      <c r="CL44" s="1278"/>
      <c r="CM44" s="827">
        <v>367</v>
      </c>
      <c r="CN44" s="1278"/>
      <c r="CO44" s="827">
        <v>335</v>
      </c>
      <c r="CP44" s="1278"/>
      <c r="CQ44" s="827">
        <v>302</v>
      </c>
      <c r="CR44" s="1278"/>
      <c r="CS44" s="827">
        <v>281</v>
      </c>
      <c r="CT44" s="1278"/>
      <c r="CU44" s="827">
        <v>0</v>
      </c>
      <c r="CV44" s="1278"/>
      <c r="CW44" s="827">
        <v>0</v>
      </c>
      <c r="CX44" s="1278"/>
      <c r="CY44" s="827">
        <v>0</v>
      </c>
      <c r="CZ44" s="1278"/>
      <c r="DA44" s="827">
        <v>0</v>
      </c>
      <c r="DB44" s="1278"/>
      <c r="DC44" s="827">
        <v>0</v>
      </c>
      <c r="DD44" s="1278"/>
      <c r="DE44" s="1279">
        <v>0</v>
      </c>
      <c r="DF44" s="635"/>
      <c r="DG44" s="912"/>
      <c r="DH44" s="629"/>
      <c r="DI44" s="629"/>
      <c r="DJ44" s="630" t="s">
        <v>397</v>
      </c>
      <c r="DK44" s="629"/>
      <c r="DL44" s="629"/>
      <c r="DM44" s="1275"/>
      <c r="DN44" s="1276">
        <v>0</v>
      </c>
      <c r="DO44" s="1277"/>
      <c r="DP44" s="827">
        <v>0</v>
      </c>
      <c r="DQ44" s="1278"/>
      <c r="DR44" s="827">
        <v>0</v>
      </c>
      <c r="DS44" s="1278"/>
      <c r="DT44" s="827">
        <v>0</v>
      </c>
      <c r="DU44" s="1278"/>
      <c r="DV44" s="827">
        <v>0</v>
      </c>
      <c r="DW44" s="1278"/>
      <c r="DX44" s="827">
        <v>0</v>
      </c>
      <c r="DY44" s="1278"/>
      <c r="DZ44" s="827">
        <v>0</v>
      </c>
      <c r="EA44" s="1278"/>
      <c r="EB44" s="827">
        <v>0</v>
      </c>
      <c r="EC44" s="1278"/>
      <c r="ED44" s="827">
        <v>918</v>
      </c>
      <c r="EE44" s="1278"/>
      <c r="EF44" s="827">
        <v>551</v>
      </c>
      <c r="EG44" s="1278"/>
      <c r="EH44" s="827">
        <v>508</v>
      </c>
      <c r="EI44" s="1278"/>
      <c r="EJ44" s="827">
        <v>464</v>
      </c>
      <c r="EK44" s="1278"/>
      <c r="EL44" s="827">
        <v>432</v>
      </c>
      <c r="EM44" s="1278"/>
      <c r="EN44" s="827">
        <v>389</v>
      </c>
      <c r="EO44" s="1278"/>
      <c r="EP44" s="827">
        <v>367</v>
      </c>
      <c r="EQ44" s="1278"/>
      <c r="ER44" s="827">
        <v>335</v>
      </c>
      <c r="ES44" s="1278"/>
      <c r="ET44" s="827">
        <v>302</v>
      </c>
      <c r="EU44" s="1278"/>
      <c r="EV44" s="827">
        <v>281</v>
      </c>
      <c r="EW44" s="1278"/>
      <c r="EX44" s="827">
        <v>0</v>
      </c>
      <c r="EY44" s="1278"/>
      <c r="EZ44" s="827">
        <v>0</v>
      </c>
      <c r="FA44" s="1278"/>
      <c r="FB44" s="827">
        <v>0</v>
      </c>
      <c r="FC44" s="1278"/>
      <c r="FD44" s="827">
        <v>0</v>
      </c>
      <c r="FE44" s="1278"/>
      <c r="FF44" s="827">
        <v>0</v>
      </c>
      <c r="FG44" s="1278"/>
      <c r="FH44" s="1279">
        <v>0</v>
      </c>
      <c r="FI44" s="636"/>
      <c r="FJ44" s="913"/>
      <c r="FK44" s="629"/>
      <c r="FL44" s="629"/>
      <c r="FM44" s="630" t="s">
        <v>397</v>
      </c>
      <c r="FN44" s="629"/>
      <c r="FO44" s="629"/>
      <c r="FP44" s="1267"/>
      <c r="FQ44" s="1277"/>
      <c r="FR44" s="1276">
        <v>65</v>
      </c>
      <c r="FS44" s="1280"/>
      <c r="FT44" s="1277"/>
      <c r="FU44" s="1281">
        <v>65</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5.5</v>
      </c>
      <c r="GN44" s="914"/>
      <c r="GO44" s="914">
        <v>0</v>
      </c>
      <c r="GP44" s="914"/>
      <c r="GQ44" s="889">
        <v>5.5</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6435</v>
      </c>
      <c r="Y45" s="923"/>
      <c r="Z45" s="922">
        <v>6219</v>
      </c>
      <c r="AA45" s="923"/>
      <c r="AB45" s="922">
        <v>6277</v>
      </c>
      <c r="AC45" s="923"/>
      <c r="AD45" s="922">
        <v>6288</v>
      </c>
      <c r="AE45" s="923"/>
      <c r="AF45" s="922">
        <v>6296</v>
      </c>
      <c r="AG45" s="923"/>
      <c r="AH45" s="922">
        <v>6256</v>
      </c>
      <c r="AI45" s="923"/>
      <c r="AJ45" s="922">
        <v>6145</v>
      </c>
      <c r="AK45" s="923"/>
      <c r="AL45" s="922">
        <v>5988</v>
      </c>
      <c r="AM45" s="923"/>
      <c r="AN45" s="922">
        <v>5881</v>
      </c>
      <c r="AO45" s="923"/>
      <c r="AP45" s="922">
        <v>5580</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6263</v>
      </c>
      <c r="CB45" s="923"/>
      <c r="CC45" s="922">
        <v>5990</v>
      </c>
      <c r="CD45" s="923"/>
      <c r="CE45" s="922">
        <v>6024</v>
      </c>
      <c r="CF45" s="923"/>
      <c r="CG45" s="922">
        <v>6019</v>
      </c>
      <c r="CH45" s="923"/>
      <c r="CI45" s="922">
        <v>6053</v>
      </c>
      <c r="CJ45" s="923"/>
      <c r="CK45" s="922">
        <v>6022</v>
      </c>
      <c r="CL45" s="923"/>
      <c r="CM45" s="922">
        <v>5971</v>
      </c>
      <c r="CN45" s="923"/>
      <c r="CO45" s="922">
        <v>5836</v>
      </c>
      <c r="CP45" s="923"/>
      <c r="CQ45" s="922">
        <v>6041</v>
      </c>
      <c r="CR45" s="923"/>
      <c r="CS45" s="922">
        <v>5886</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5988</v>
      </c>
      <c r="EE45" s="923"/>
      <c r="EF45" s="922">
        <v>5733</v>
      </c>
      <c r="EG45" s="923"/>
      <c r="EH45" s="922">
        <v>5766</v>
      </c>
      <c r="EI45" s="923"/>
      <c r="EJ45" s="922">
        <v>5784</v>
      </c>
      <c r="EK45" s="923"/>
      <c r="EL45" s="922">
        <v>5792</v>
      </c>
      <c r="EM45" s="923"/>
      <c r="EN45" s="922">
        <v>5741</v>
      </c>
      <c r="EO45" s="923"/>
      <c r="EP45" s="922">
        <v>5678</v>
      </c>
      <c r="EQ45" s="923"/>
      <c r="ER45" s="922">
        <v>5553</v>
      </c>
      <c r="ES45" s="923"/>
      <c r="ET45" s="922">
        <v>5322</v>
      </c>
      <c r="EU45" s="923"/>
      <c r="EV45" s="922">
        <v>5115</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1916</v>
      </c>
      <c r="FS45" s="927"/>
      <c r="FT45" s="926"/>
      <c r="FU45" s="928">
        <v>1964</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515</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515</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401</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656</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6757</v>
      </c>
      <c r="Y47" s="955"/>
      <c r="Z47" s="954">
        <v>6530</v>
      </c>
      <c r="AA47" s="955"/>
      <c r="AB47" s="954">
        <v>6591</v>
      </c>
      <c r="AC47" s="955"/>
      <c r="AD47" s="954">
        <v>6602</v>
      </c>
      <c r="AE47" s="955"/>
      <c r="AF47" s="954">
        <v>6611</v>
      </c>
      <c r="AG47" s="955"/>
      <c r="AH47" s="954">
        <v>6569</v>
      </c>
      <c r="AI47" s="955"/>
      <c r="AJ47" s="954">
        <v>6452</v>
      </c>
      <c r="AK47" s="955"/>
      <c r="AL47" s="954">
        <v>6287</v>
      </c>
      <c r="AM47" s="955"/>
      <c r="AN47" s="954">
        <v>6175</v>
      </c>
      <c r="AO47" s="955"/>
      <c r="AP47" s="954">
        <v>5859</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6576</v>
      </c>
      <c r="CB47" s="955"/>
      <c r="CC47" s="954">
        <v>6290</v>
      </c>
      <c r="CD47" s="955"/>
      <c r="CE47" s="954">
        <v>6325</v>
      </c>
      <c r="CF47" s="955"/>
      <c r="CG47" s="954">
        <v>6320</v>
      </c>
      <c r="CH47" s="955"/>
      <c r="CI47" s="954">
        <v>6356</v>
      </c>
      <c r="CJ47" s="955"/>
      <c r="CK47" s="954">
        <v>6323</v>
      </c>
      <c r="CL47" s="955"/>
      <c r="CM47" s="954">
        <v>6270</v>
      </c>
      <c r="CN47" s="955"/>
      <c r="CO47" s="954">
        <v>6128</v>
      </c>
      <c r="CP47" s="955"/>
      <c r="CQ47" s="954">
        <v>6343</v>
      </c>
      <c r="CR47" s="955"/>
      <c r="CS47" s="954">
        <v>6180</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6287</v>
      </c>
      <c r="EE47" s="955"/>
      <c r="EF47" s="954">
        <v>6020</v>
      </c>
      <c r="EG47" s="955"/>
      <c r="EH47" s="954">
        <v>6054</v>
      </c>
      <c r="EI47" s="955"/>
      <c r="EJ47" s="954">
        <v>6073</v>
      </c>
      <c r="EK47" s="955"/>
      <c r="EL47" s="954">
        <v>6082</v>
      </c>
      <c r="EM47" s="955"/>
      <c r="EN47" s="954">
        <v>6028</v>
      </c>
      <c r="EO47" s="955"/>
      <c r="EP47" s="954">
        <v>5962</v>
      </c>
      <c r="EQ47" s="955"/>
      <c r="ER47" s="954">
        <v>5831</v>
      </c>
      <c r="ES47" s="955"/>
      <c r="ET47" s="954">
        <v>5588</v>
      </c>
      <c r="EU47" s="955"/>
      <c r="EV47" s="954">
        <v>5371</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1916</v>
      </c>
      <c r="FS47" s="963"/>
      <c r="FT47" s="962"/>
      <c r="FU47" s="964">
        <v>1964</v>
      </c>
      <c r="FV47" s="965">
        <v>9</v>
      </c>
      <c r="FW47" s="954">
        <v>6757</v>
      </c>
      <c r="FX47" s="966">
        <v>9</v>
      </c>
      <c r="FY47" s="954">
        <v>6576</v>
      </c>
      <c r="FZ47" s="966">
        <v>9</v>
      </c>
      <c r="GA47" s="954">
        <v>6287</v>
      </c>
      <c r="GB47" s="967" t="s">
        <v>542</v>
      </c>
      <c r="GC47" s="954">
        <v>6757</v>
      </c>
      <c r="GD47" s="967" t="s">
        <v>332</v>
      </c>
      <c r="GE47" s="968">
        <v>1964</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v>66</v>
      </c>
      <c r="E49" s="738">
        <v>16</v>
      </c>
      <c r="F49" s="982" t="s">
        <v>373</v>
      </c>
      <c r="G49" s="740"/>
      <c r="H49" s="546"/>
      <c r="I49" s="741"/>
      <c r="J49" s="546"/>
      <c r="K49" s="741"/>
      <c r="L49" s="546"/>
      <c r="M49" s="741"/>
      <c r="N49" s="546"/>
      <c r="O49" s="741"/>
      <c r="P49" s="546"/>
      <c r="Q49" s="741"/>
      <c r="R49" s="546"/>
      <c r="S49" s="741"/>
      <c r="T49" s="546"/>
      <c r="U49" s="741"/>
      <c r="V49" s="546"/>
      <c r="W49" s="741">
        <v>1</v>
      </c>
      <c r="X49" s="546">
        <v>1056</v>
      </c>
      <c r="Y49" s="741">
        <v>1</v>
      </c>
      <c r="Z49" s="546">
        <v>1056</v>
      </c>
      <c r="AA49" s="741">
        <v>1</v>
      </c>
      <c r="AB49" s="546">
        <v>1056</v>
      </c>
      <c r="AC49" s="741">
        <v>1</v>
      </c>
      <c r="AD49" s="546">
        <v>1056</v>
      </c>
      <c r="AE49" s="741">
        <v>1</v>
      </c>
      <c r="AF49" s="546">
        <v>1056</v>
      </c>
      <c r="AG49" s="741">
        <v>1</v>
      </c>
      <c r="AH49" s="546">
        <v>1056</v>
      </c>
      <c r="AI49" s="741">
        <v>1</v>
      </c>
      <c r="AJ49" s="546">
        <v>1056</v>
      </c>
      <c r="AK49" s="741">
        <v>1</v>
      </c>
      <c r="AL49" s="546">
        <v>1056</v>
      </c>
      <c r="AM49" s="741">
        <v>1</v>
      </c>
      <c r="AN49" s="546">
        <v>1056</v>
      </c>
      <c r="AO49" s="741">
        <v>1</v>
      </c>
      <c r="AP49" s="546">
        <v>1056</v>
      </c>
      <c r="AQ49" s="741"/>
      <c r="AR49" s="546"/>
      <c r="AS49" s="741"/>
      <c r="AT49" s="546"/>
      <c r="AU49" s="741"/>
      <c r="AV49" s="546"/>
      <c r="AW49" s="741"/>
      <c r="AX49" s="546"/>
      <c r="AY49" s="983"/>
      <c r="AZ49" s="984"/>
      <c r="BA49" s="985"/>
      <c r="BB49" s="986"/>
      <c r="BC49" s="917"/>
      <c r="BD49" s="980"/>
      <c r="BE49" s="735" t="s">
        <v>372</v>
      </c>
      <c r="BF49" s="981"/>
      <c r="BG49" s="737"/>
      <c r="BH49" s="738">
        <v>16</v>
      </c>
      <c r="BI49" s="982" t="s">
        <v>373</v>
      </c>
      <c r="BJ49" s="740"/>
      <c r="BK49" s="546"/>
      <c r="BL49" s="741"/>
      <c r="BM49" s="546"/>
      <c r="BN49" s="741"/>
      <c r="BO49" s="546"/>
      <c r="BP49" s="741"/>
      <c r="BQ49" s="546"/>
      <c r="BR49" s="741"/>
      <c r="BS49" s="546"/>
      <c r="BT49" s="741"/>
      <c r="BU49" s="546"/>
      <c r="BV49" s="741"/>
      <c r="BW49" s="546"/>
      <c r="BX49" s="741"/>
      <c r="BY49" s="546"/>
      <c r="BZ49" s="741">
        <v>1</v>
      </c>
      <c r="CA49" s="546">
        <v>1056</v>
      </c>
      <c r="CB49" s="741">
        <v>1</v>
      </c>
      <c r="CC49" s="546">
        <v>1056</v>
      </c>
      <c r="CD49" s="741">
        <v>1</v>
      </c>
      <c r="CE49" s="546">
        <v>1056</v>
      </c>
      <c r="CF49" s="741">
        <v>1</v>
      </c>
      <c r="CG49" s="546">
        <v>1056</v>
      </c>
      <c r="CH49" s="741">
        <v>1</v>
      </c>
      <c r="CI49" s="546">
        <v>1056</v>
      </c>
      <c r="CJ49" s="741">
        <v>1</v>
      </c>
      <c r="CK49" s="546">
        <v>1056</v>
      </c>
      <c r="CL49" s="741">
        <v>1</v>
      </c>
      <c r="CM49" s="546">
        <v>1056</v>
      </c>
      <c r="CN49" s="741">
        <v>1</v>
      </c>
      <c r="CO49" s="546">
        <v>1056</v>
      </c>
      <c r="CP49" s="741">
        <v>1</v>
      </c>
      <c r="CQ49" s="546">
        <v>1056</v>
      </c>
      <c r="CR49" s="741">
        <v>1</v>
      </c>
      <c r="CS49" s="546">
        <v>1056</v>
      </c>
      <c r="CT49" s="741"/>
      <c r="CU49" s="546"/>
      <c r="CV49" s="741"/>
      <c r="CW49" s="546"/>
      <c r="CX49" s="741"/>
      <c r="CY49" s="546"/>
      <c r="CZ49" s="741"/>
      <c r="DA49" s="546"/>
      <c r="DB49" s="983"/>
      <c r="DC49" s="984"/>
      <c r="DD49" s="985"/>
      <c r="DE49" s="986"/>
      <c r="DF49" s="917"/>
      <c r="DG49" s="980"/>
      <c r="DH49" s="735" t="s">
        <v>372</v>
      </c>
      <c r="DI49" s="981"/>
      <c r="DJ49" s="737"/>
      <c r="DK49" s="738">
        <v>16</v>
      </c>
      <c r="DL49" s="982" t="s">
        <v>373</v>
      </c>
      <c r="DM49" s="740"/>
      <c r="DN49" s="546"/>
      <c r="DO49" s="741"/>
      <c r="DP49" s="546"/>
      <c r="DQ49" s="741"/>
      <c r="DR49" s="546"/>
      <c r="DS49" s="741"/>
      <c r="DT49" s="546"/>
      <c r="DU49" s="741"/>
      <c r="DV49" s="546"/>
      <c r="DW49" s="741"/>
      <c r="DX49" s="546"/>
      <c r="DY49" s="741"/>
      <c r="DZ49" s="546"/>
      <c r="EA49" s="741"/>
      <c r="EB49" s="546"/>
      <c r="EC49" s="741">
        <v>1</v>
      </c>
      <c r="ED49" s="546">
        <v>1056</v>
      </c>
      <c r="EE49" s="741">
        <v>1</v>
      </c>
      <c r="EF49" s="546">
        <v>1056</v>
      </c>
      <c r="EG49" s="741">
        <v>1</v>
      </c>
      <c r="EH49" s="546">
        <v>1056</v>
      </c>
      <c r="EI49" s="741">
        <v>1</v>
      </c>
      <c r="EJ49" s="546">
        <v>1056</v>
      </c>
      <c r="EK49" s="741">
        <v>1</v>
      </c>
      <c r="EL49" s="546">
        <v>1056</v>
      </c>
      <c r="EM49" s="741">
        <v>1</v>
      </c>
      <c r="EN49" s="546">
        <v>1056</v>
      </c>
      <c r="EO49" s="741">
        <v>1</v>
      </c>
      <c r="EP49" s="546">
        <v>1056</v>
      </c>
      <c r="EQ49" s="741">
        <v>1</v>
      </c>
      <c r="ER49" s="546">
        <v>1056</v>
      </c>
      <c r="ES49" s="741">
        <v>1</v>
      </c>
      <c r="ET49" s="546">
        <v>1056</v>
      </c>
      <c r="EU49" s="741">
        <v>1</v>
      </c>
      <c r="EV49" s="546">
        <v>1056</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518</v>
      </c>
      <c r="GV50" s="567"/>
      <c r="GW50" s="567"/>
      <c r="GX50" s="567"/>
      <c r="GY50" s="602"/>
      <c r="GZ50" s="566"/>
      <c r="HA50" s="602">
        <v>0.6</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0.6</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1056</v>
      </c>
      <c r="Y52" s="1038"/>
      <c r="Z52" s="1037">
        <v>1056</v>
      </c>
      <c r="AA52" s="1038"/>
      <c r="AB52" s="1037">
        <v>1056</v>
      </c>
      <c r="AC52" s="1038"/>
      <c r="AD52" s="1037">
        <v>1056</v>
      </c>
      <c r="AE52" s="1038"/>
      <c r="AF52" s="1037">
        <v>1056</v>
      </c>
      <c r="AG52" s="1038"/>
      <c r="AH52" s="1037">
        <v>1056</v>
      </c>
      <c r="AI52" s="1038"/>
      <c r="AJ52" s="1037">
        <v>1056</v>
      </c>
      <c r="AK52" s="1038"/>
      <c r="AL52" s="1037">
        <v>1056</v>
      </c>
      <c r="AM52" s="1038"/>
      <c r="AN52" s="1037">
        <v>1056</v>
      </c>
      <c r="AO52" s="1038"/>
      <c r="AP52" s="1037">
        <v>1056</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1056</v>
      </c>
      <c r="CB52" s="1038"/>
      <c r="CC52" s="1037">
        <v>1056</v>
      </c>
      <c r="CD52" s="1038"/>
      <c r="CE52" s="1037">
        <v>1056</v>
      </c>
      <c r="CF52" s="1038"/>
      <c r="CG52" s="1037">
        <v>1056</v>
      </c>
      <c r="CH52" s="1038"/>
      <c r="CI52" s="1037">
        <v>1056</v>
      </c>
      <c r="CJ52" s="1038"/>
      <c r="CK52" s="1037">
        <v>1056</v>
      </c>
      <c r="CL52" s="1038"/>
      <c r="CM52" s="1037">
        <v>1056</v>
      </c>
      <c r="CN52" s="1038"/>
      <c r="CO52" s="1037">
        <v>1056</v>
      </c>
      <c r="CP52" s="1038"/>
      <c r="CQ52" s="1037">
        <v>1056</v>
      </c>
      <c r="CR52" s="1038"/>
      <c r="CS52" s="1037">
        <v>1056</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1056</v>
      </c>
      <c r="EE52" s="1038"/>
      <c r="EF52" s="1037">
        <v>1056</v>
      </c>
      <c r="EG52" s="1038"/>
      <c r="EH52" s="1037">
        <v>1056</v>
      </c>
      <c r="EI52" s="1038"/>
      <c r="EJ52" s="1037">
        <v>1056</v>
      </c>
      <c r="EK52" s="1038"/>
      <c r="EL52" s="1037">
        <v>1056</v>
      </c>
      <c r="EM52" s="1038"/>
      <c r="EN52" s="1037">
        <v>1056</v>
      </c>
      <c r="EO52" s="1038"/>
      <c r="EP52" s="1037">
        <v>1056</v>
      </c>
      <c r="EQ52" s="1038"/>
      <c r="ER52" s="1037">
        <v>1056</v>
      </c>
      <c r="ES52" s="1038"/>
      <c r="ET52" s="1037">
        <v>1056</v>
      </c>
      <c r="EU52" s="1038"/>
      <c r="EV52" s="1037">
        <v>1056</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9</v>
      </c>
      <c r="FW52" s="1048">
        <v>1056</v>
      </c>
      <c r="FX52" s="1049">
        <v>9</v>
      </c>
      <c r="FY52" s="1048">
        <v>1056</v>
      </c>
      <c r="FZ52" s="1049">
        <v>9</v>
      </c>
      <c r="GA52" s="1048">
        <v>1056</v>
      </c>
      <c r="GB52" s="1050" t="s">
        <v>542</v>
      </c>
      <c r="GC52" s="1051">
        <v>1056</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7813</v>
      </c>
      <c r="Y53" s="1065"/>
      <c r="Z53" s="1064">
        <v>7586</v>
      </c>
      <c r="AA53" s="1065"/>
      <c r="AB53" s="1064">
        <v>7647</v>
      </c>
      <c r="AC53" s="1065"/>
      <c r="AD53" s="1064">
        <v>7658</v>
      </c>
      <c r="AE53" s="1065"/>
      <c r="AF53" s="1064">
        <v>7667</v>
      </c>
      <c r="AG53" s="1065"/>
      <c r="AH53" s="1064">
        <v>7625</v>
      </c>
      <c r="AI53" s="1065"/>
      <c r="AJ53" s="1064">
        <v>7508</v>
      </c>
      <c r="AK53" s="1065"/>
      <c r="AL53" s="1064">
        <v>7343</v>
      </c>
      <c r="AM53" s="1065"/>
      <c r="AN53" s="1064">
        <v>7231</v>
      </c>
      <c r="AO53" s="1065"/>
      <c r="AP53" s="1064">
        <v>6915</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7632</v>
      </c>
      <c r="CB53" s="1065"/>
      <c r="CC53" s="1064">
        <v>7346</v>
      </c>
      <c r="CD53" s="1065"/>
      <c r="CE53" s="1064">
        <v>7381</v>
      </c>
      <c r="CF53" s="1065"/>
      <c r="CG53" s="1064">
        <v>7376</v>
      </c>
      <c r="CH53" s="1065"/>
      <c r="CI53" s="1064">
        <v>7412</v>
      </c>
      <c r="CJ53" s="1065"/>
      <c r="CK53" s="1064">
        <v>7379</v>
      </c>
      <c r="CL53" s="1065"/>
      <c r="CM53" s="1064">
        <v>7326</v>
      </c>
      <c r="CN53" s="1065"/>
      <c r="CO53" s="1064">
        <v>7184</v>
      </c>
      <c r="CP53" s="1065"/>
      <c r="CQ53" s="1064">
        <v>7399</v>
      </c>
      <c r="CR53" s="1065"/>
      <c r="CS53" s="1064">
        <v>7236</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7343</v>
      </c>
      <c r="EE53" s="1065"/>
      <c r="EF53" s="1064">
        <v>7076</v>
      </c>
      <c r="EG53" s="1065"/>
      <c r="EH53" s="1064">
        <v>7110</v>
      </c>
      <c r="EI53" s="1065"/>
      <c r="EJ53" s="1064">
        <v>7129</v>
      </c>
      <c r="EK53" s="1065"/>
      <c r="EL53" s="1064">
        <v>7138</v>
      </c>
      <c r="EM53" s="1065"/>
      <c r="EN53" s="1064">
        <v>7084</v>
      </c>
      <c r="EO53" s="1065"/>
      <c r="EP53" s="1064">
        <v>7018</v>
      </c>
      <c r="EQ53" s="1065"/>
      <c r="ER53" s="1064">
        <v>6887</v>
      </c>
      <c r="ES53" s="1065"/>
      <c r="ET53" s="1064">
        <v>6644</v>
      </c>
      <c r="EU53" s="1065"/>
      <c r="EV53" s="1064">
        <v>6427</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1916</v>
      </c>
      <c r="FS53" s="1072"/>
      <c r="FT53" s="1071"/>
      <c r="FU53" s="1073">
        <v>1964</v>
      </c>
      <c r="FV53" s="1074">
        <v>9</v>
      </c>
      <c r="FW53" s="1075">
        <v>7813</v>
      </c>
      <c r="FX53" s="1076">
        <v>9</v>
      </c>
      <c r="FY53" s="1075">
        <v>7632</v>
      </c>
      <c r="FZ53" s="1076">
        <v>9</v>
      </c>
      <c r="GA53" s="1075">
        <v>7343</v>
      </c>
      <c r="GB53" s="1077" t="s">
        <v>542</v>
      </c>
      <c r="GC53" s="1075">
        <v>7813</v>
      </c>
      <c r="GD53" s="1077" t="s">
        <v>332</v>
      </c>
      <c r="GE53" s="1078">
        <v>1964</v>
      </c>
      <c r="GF53" s="671"/>
      <c r="GG53" s="969"/>
      <c r="GH53" s="969"/>
      <c r="GI53" s="969"/>
      <c r="GJ53" s="932"/>
      <c r="GK53" s="404"/>
      <c r="GL53" s="1079">
        <v>10</v>
      </c>
      <c r="GM53" s="1080">
        <v>1</v>
      </c>
      <c r="GN53" s="1081">
        <v>0.92</v>
      </c>
      <c r="GO53" s="1082">
        <v>5.0999999999999996</v>
      </c>
      <c r="GP53" s="1082">
        <v>0</v>
      </c>
      <c r="GQ53" s="1083">
        <v>5.0999999999999996</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72.3</v>
      </c>
      <c r="Y54" s="1092"/>
      <c r="Z54" s="1091">
        <v>70.2</v>
      </c>
      <c r="AA54" s="1092"/>
      <c r="AB54" s="1091">
        <v>70.8</v>
      </c>
      <c r="AC54" s="1092"/>
      <c r="AD54" s="1091">
        <v>70.900000000000006</v>
      </c>
      <c r="AE54" s="1092"/>
      <c r="AF54" s="1091">
        <v>71</v>
      </c>
      <c r="AG54" s="1092"/>
      <c r="AH54" s="1091">
        <v>70.599999999999994</v>
      </c>
      <c r="AI54" s="1092"/>
      <c r="AJ54" s="1091">
        <v>69.5</v>
      </c>
      <c r="AK54" s="1092"/>
      <c r="AL54" s="1091">
        <v>68</v>
      </c>
      <c r="AM54" s="1092"/>
      <c r="AN54" s="1091">
        <v>67</v>
      </c>
      <c r="AO54" s="1092"/>
      <c r="AP54" s="1091">
        <v>64</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70.7</v>
      </c>
      <c r="CB54" s="1092"/>
      <c r="CC54" s="1091">
        <v>68</v>
      </c>
      <c r="CD54" s="1092"/>
      <c r="CE54" s="1091">
        <v>68.3</v>
      </c>
      <c r="CF54" s="1092"/>
      <c r="CG54" s="1091">
        <v>68.3</v>
      </c>
      <c r="CH54" s="1092"/>
      <c r="CI54" s="1091">
        <v>68.599999999999994</v>
      </c>
      <c r="CJ54" s="1092"/>
      <c r="CK54" s="1091">
        <v>68.3</v>
      </c>
      <c r="CL54" s="1092"/>
      <c r="CM54" s="1091">
        <v>67.8</v>
      </c>
      <c r="CN54" s="1092"/>
      <c r="CO54" s="1091">
        <v>66.5</v>
      </c>
      <c r="CP54" s="1092"/>
      <c r="CQ54" s="1091">
        <v>68.5</v>
      </c>
      <c r="CR54" s="1092"/>
      <c r="CS54" s="1091">
        <v>67</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68</v>
      </c>
      <c r="EE54" s="1092"/>
      <c r="EF54" s="1091">
        <v>65.5</v>
      </c>
      <c r="EG54" s="1092"/>
      <c r="EH54" s="1091">
        <v>65.8</v>
      </c>
      <c r="EI54" s="1092"/>
      <c r="EJ54" s="1091">
        <v>66</v>
      </c>
      <c r="EK54" s="1092"/>
      <c r="EL54" s="1091">
        <v>66.099999999999994</v>
      </c>
      <c r="EM54" s="1092"/>
      <c r="EN54" s="1091">
        <v>65.599999999999994</v>
      </c>
      <c r="EO54" s="1092"/>
      <c r="EP54" s="1091">
        <v>65</v>
      </c>
      <c r="EQ54" s="1092"/>
      <c r="ER54" s="1091">
        <v>63.8</v>
      </c>
      <c r="ES54" s="1092"/>
      <c r="ET54" s="1091">
        <v>61.5</v>
      </c>
      <c r="EU54" s="1092"/>
      <c r="EV54" s="1091">
        <v>59.5</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17.7</v>
      </c>
      <c r="FS54" s="1095"/>
      <c r="FT54" s="1092"/>
      <c r="FU54" s="1096">
        <v>18.2</v>
      </c>
      <c r="FV54" s="1095"/>
      <c r="FW54" s="1091">
        <f>IF(面積=0,0,ROUND(FW53/面積,1))</f>
        <v>72.3</v>
      </c>
      <c r="FX54" s="1095"/>
      <c r="FY54" s="1091">
        <f>IF(面積=0,0,ROUND(FY53/面積,1))</f>
        <v>70.7</v>
      </c>
      <c r="FZ54" s="1095"/>
      <c r="GA54" s="1091">
        <f>IF(面積=0,0,ROUND(GA53/面積,1))</f>
        <v>68</v>
      </c>
      <c r="GB54" s="1095"/>
      <c r="GC54" s="1091">
        <f>IF(面積=0,0,ROUND(GC53/面積,1))</f>
        <v>72.3</v>
      </c>
      <c r="GD54" s="1095"/>
      <c r="GE54" s="1093">
        <f>IF(面積=0,0,ROUND(GE53/面積,1))</f>
        <v>18.2</v>
      </c>
      <c r="GF54" s="671"/>
      <c r="GG54" s="916"/>
      <c r="GH54" s="916"/>
      <c r="GI54" s="916"/>
      <c r="GJ54" s="567"/>
      <c r="GK54" s="566"/>
      <c r="GL54" s="1079">
        <v>11</v>
      </c>
      <c r="GM54" s="1080">
        <v>2</v>
      </c>
      <c r="GN54" s="1081">
        <v>0.85</v>
      </c>
      <c r="GO54" s="1082">
        <v>4.7</v>
      </c>
      <c r="GP54" s="1082">
        <v>0</v>
      </c>
      <c r="GQ54" s="1083">
        <v>4.7</v>
      </c>
      <c r="GR54" s="517"/>
      <c r="GS54" s="567"/>
      <c r="GT54" s="840"/>
      <c r="GU54" s="1097" t="s">
        <v>486</v>
      </c>
      <c r="GV54" s="1097"/>
      <c r="GW54" s="1097"/>
      <c r="GX54" s="1097"/>
      <c r="GY54" s="758"/>
      <c r="GZ54" s="1098"/>
      <c r="HA54" s="1099">
        <v>0.6</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4.3</v>
      </c>
      <c r="GP55" s="1082">
        <v>0</v>
      </c>
      <c r="GQ55" s="1083">
        <v>4.3</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508</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4</v>
      </c>
      <c r="GP56" s="1082">
        <v>0</v>
      </c>
      <c r="GQ56" s="1083">
        <v>4</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3.6</v>
      </c>
      <c r="GP57" s="1082">
        <v>0</v>
      </c>
      <c r="GQ57" s="1083">
        <v>3.6</v>
      </c>
      <c r="GR57" s="932"/>
      <c r="GS57" s="516"/>
      <c r="GT57" s="1243"/>
      <c r="GU57" s="565"/>
      <c r="GV57" s="565"/>
      <c r="GW57" s="487"/>
      <c r="GX57" s="1246"/>
      <c r="GY57" s="566"/>
      <c r="GZ57" s="487"/>
      <c r="HA57" s="565"/>
      <c r="HB57" s="487"/>
      <c r="HC57" s="1031"/>
    </row>
    <row r="58" spans="1:212" ht="20.100000000000001" customHeight="1">
      <c r="A58" s="1141" t="s">
        <v>831</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480</v>
      </c>
      <c r="Y58" s="1147"/>
      <c r="Z58" s="1146">
        <v>480</v>
      </c>
      <c r="AA58" s="1147"/>
      <c r="AB58" s="1146">
        <v>480</v>
      </c>
      <c r="AC58" s="1147"/>
      <c r="AD58" s="1146">
        <v>480</v>
      </c>
      <c r="AE58" s="1147"/>
      <c r="AF58" s="1146">
        <v>480</v>
      </c>
      <c r="AG58" s="1147"/>
      <c r="AH58" s="1146">
        <v>480</v>
      </c>
      <c r="AI58" s="1147"/>
      <c r="AJ58" s="1146">
        <v>480</v>
      </c>
      <c r="AK58" s="1147"/>
      <c r="AL58" s="1146">
        <v>480</v>
      </c>
      <c r="AM58" s="1147"/>
      <c r="AN58" s="1146">
        <v>480</v>
      </c>
      <c r="AO58" s="1147"/>
      <c r="AP58" s="1146">
        <v>480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480</v>
      </c>
      <c r="CB58" s="1147"/>
      <c r="CC58" s="1146">
        <v>480</v>
      </c>
      <c r="CD58" s="1147"/>
      <c r="CE58" s="1146">
        <v>480</v>
      </c>
      <c r="CF58" s="1147"/>
      <c r="CG58" s="1146">
        <v>480</v>
      </c>
      <c r="CH58" s="1147"/>
      <c r="CI58" s="1146">
        <v>480</v>
      </c>
      <c r="CJ58" s="1147"/>
      <c r="CK58" s="1146">
        <v>480</v>
      </c>
      <c r="CL58" s="1147"/>
      <c r="CM58" s="1146">
        <v>480</v>
      </c>
      <c r="CN58" s="1147"/>
      <c r="CO58" s="1146">
        <v>480</v>
      </c>
      <c r="CP58" s="1147"/>
      <c r="CQ58" s="1146">
        <v>480</v>
      </c>
      <c r="CR58" s="1147"/>
      <c r="CS58" s="1146">
        <v>480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480</v>
      </c>
      <c r="EE58" s="1147"/>
      <c r="EF58" s="1146">
        <v>480</v>
      </c>
      <c r="EG58" s="1147"/>
      <c r="EH58" s="1146">
        <v>480</v>
      </c>
      <c r="EI58" s="1147"/>
      <c r="EJ58" s="1146">
        <v>480</v>
      </c>
      <c r="EK58" s="1147"/>
      <c r="EL58" s="1146">
        <v>480</v>
      </c>
      <c r="EM58" s="1147"/>
      <c r="EN58" s="1146">
        <v>480</v>
      </c>
      <c r="EO58" s="1147"/>
      <c r="EP58" s="1146">
        <v>480</v>
      </c>
      <c r="EQ58" s="1147"/>
      <c r="ER58" s="1146">
        <v>480</v>
      </c>
      <c r="ES58" s="1147"/>
      <c r="ET58" s="1146">
        <v>480</v>
      </c>
      <c r="EU58" s="1147"/>
      <c r="EV58" s="1146">
        <v>480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480</v>
      </c>
      <c r="FS58" s="1150"/>
      <c r="FT58" s="1149"/>
      <c r="FU58" s="1151">
        <v>480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3.4</v>
      </c>
      <c r="GP58" s="1082">
        <v>0</v>
      </c>
      <c r="GQ58" s="1083">
        <v>3.4</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t="s">
        <v>773</v>
      </c>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23.4</v>
      </c>
      <c r="X59" s="574">
        <v>3744</v>
      </c>
      <c r="Y59" s="1163">
        <v>24.3</v>
      </c>
      <c r="Z59" s="574">
        <v>3888</v>
      </c>
      <c r="AA59" s="1163">
        <v>24.6</v>
      </c>
      <c r="AB59" s="574">
        <v>3936</v>
      </c>
      <c r="AC59" s="1163">
        <v>25.9</v>
      </c>
      <c r="AD59" s="574">
        <v>4144</v>
      </c>
      <c r="AE59" s="1163">
        <v>25.5</v>
      </c>
      <c r="AF59" s="574">
        <v>4080</v>
      </c>
      <c r="AG59" s="1163">
        <v>24.8</v>
      </c>
      <c r="AH59" s="574">
        <v>3968</v>
      </c>
      <c r="AI59" s="1163">
        <v>24.8</v>
      </c>
      <c r="AJ59" s="574">
        <v>3968</v>
      </c>
      <c r="AK59" s="1163">
        <v>24.5</v>
      </c>
      <c r="AL59" s="574">
        <v>3920</v>
      </c>
      <c r="AM59" s="1163">
        <v>23.8</v>
      </c>
      <c r="AN59" s="574">
        <v>3808</v>
      </c>
      <c r="AO59" s="1163">
        <v>23.1</v>
      </c>
      <c r="AP59" s="574">
        <v>3696</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t="s">
        <v>773</v>
      </c>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18.3</v>
      </c>
      <c r="CA59" s="574">
        <v>2928</v>
      </c>
      <c r="CB59" s="1163">
        <v>19.100000000000001</v>
      </c>
      <c r="CC59" s="574">
        <v>3056</v>
      </c>
      <c r="CD59" s="1163">
        <v>20</v>
      </c>
      <c r="CE59" s="574">
        <v>3200</v>
      </c>
      <c r="CF59" s="1163">
        <v>20.7</v>
      </c>
      <c r="CG59" s="574">
        <v>3312</v>
      </c>
      <c r="CH59" s="1163">
        <v>21.1</v>
      </c>
      <c r="CI59" s="574">
        <v>3376</v>
      </c>
      <c r="CJ59" s="1163">
        <v>20.399999999999999</v>
      </c>
      <c r="CK59" s="574">
        <v>3264</v>
      </c>
      <c r="CL59" s="1163">
        <v>20.2</v>
      </c>
      <c r="CM59" s="574">
        <v>3232</v>
      </c>
      <c r="CN59" s="1163">
        <v>20</v>
      </c>
      <c r="CO59" s="574">
        <v>3200</v>
      </c>
      <c r="CP59" s="1163">
        <v>20</v>
      </c>
      <c r="CQ59" s="574">
        <v>3200</v>
      </c>
      <c r="CR59" s="1163">
        <v>19.3</v>
      </c>
      <c r="CS59" s="574">
        <v>3088</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t="s">
        <v>773</v>
      </c>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9.5</v>
      </c>
      <c r="ED59" s="574">
        <v>1520</v>
      </c>
      <c r="EE59" s="1163">
        <v>10.6</v>
      </c>
      <c r="EF59" s="574">
        <v>1696</v>
      </c>
      <c r="EG59" s="1163">
        <v>10.7</v>
      </c>
      <c r="EH59" s="574">
        <v>1712</v>
      </c>
      <c r="EI59" s="1163">
        <v>11.1</v>
      </c>
      <c r="EJ59" s="574">
        <v>1776</v>
      </c>
      <c r="EK59" s="1163">
        <v>10.8</v>
      </c>
      <c r="EL59" s="574">
        <v>1728</v>
      </c>
      <c r="EM59" s="1163">
        <v>10.3</v>
      </c>
      <c r="EN59" s="574">
        <v>1648</v>
      </c>
      <c r="EO59" s="1163">
        <v>10.1</v>
      </c>
      <c r="EP59" s="574">
        <v>1616</v>
      </c>
      <c r="EQ59" s="1163">
        <v>10.199999999999999</v>
      </c>
      <c r="ER59" s="574">
        <v>1632</v>
      </c>
      <c r="ES59" s="1163">
        <v>9.6999999999999993</v>
      </c>
      <c r="ET59" s="574">
        <v>1552</v>
      </c>
      <c r="EU59" s="1163">
        <v>10.199999999999999</v>
      </c>
      <c r="EV59" s="574">
        <v>1632</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t="s">
        <v>773</v>
      </c>
      <c r="FN59" s="1161"/>
      <c r="FO59" s="1000"/>
      <c r="FP59" s="612">
        <v>9</v>
      </c>
      <c r="FQ59" s="1164">
        <v>27.9</v>
      </c>
      <c r="FR59" s="1165">
        <v>4464</v>
      </c>
      <c r="FS59" s="1166">
        <v>9</v>
      </c>
      <c r="FT59" s="1164">
        <v>24.2</v>
      </c>
      <c r="FU59" s="1167">
        <v>3872</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3.1</v>
      </c>
      <c r="GP59" s="1082">
        <v>0</v>
      </c>
      <c r="GQ59" s="1083">
        <v>3.1</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2.8</v>
      </c>
      <c r="GP60" s="1082">
        <v>0</v>
      </c>
      <c r="GQ60" s="1083">
        <v>2.8</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11557</v>
      </c>
      <c r="Y61" s="1184"/>
      <c r="Z61" s="1185">
        <v>11474</v>
      </c>
      <c r="AA61" s="1184"/>
      <c r="AB61" s="1185">
        <v>11583</v>
      </c>
      <c r="AC61" s="1184"/>
      <c r="AD61" s="1185">
        <v>11802</v>
      </c>
      <c r="AE61" s="1184"/>
      <c r="AF61" s="1185">
        <v>11747</v>
      </c>
      <c r="AG61" s="1184"/>
      <c r="AH61" s="1185">
        <v>11593</v>
      </c>
      <c r="AI61" s="1184"/>
      <c r="AJ61" s="1185">
        <v>11476</v>
      </c>
      <c r="AK61" s="1184"/>
      <c r="AL61" s="1185">
        <v>11263</v>
      </c>
      <c r="AM61" s="1184"/>
      <c r="AN61" s="1185">
        <v>11039</v>
      </c>
      <c r="AO61" s="1184"/>
      <c r="AP61" s="1185">
        <v>10611</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10560</v>
      </c>
      <c r="CB61" s="1184"/>
      <c r="CC61" s="1185">
        <v>10402</v>
      </c>
      <c r="CD61" s="1184"/>
      <c r="CE61" s="1185">
        <v>10581</v>
      </c>
      <c r="CF61" s="1184"/>
      <c r="CG61" s="1185">
        <v>10688</v>
      </c>
      <c r="CH61" s="1184"/>
      <c r="CI61" s="1185">
        <v>10788</v>
      </c>
      <c r="CJ61" s="1184"/>
      <c r="CK61" s="1185">
        <v>10643</v>
      </c>
      <c r="CL61" s="1184"/>
      <c r="CM61" s="1185">
        <v>10558</v>
      </c>
      <c r="CN61" s="1184"/>
      <c r="CO61" s="1185">
        <v>10384</v>
      </c>
      <c r="CP61" s="1184"/>
      <c r="CQ61" s="1185">
        <v>10599</v>
      </c>
      <c r="CR61" s="1184"/>
      <c r="CS61" s="1185">
        <v>10324</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8863</v>
      </c>
      <c r="EE61" s="1184"/>
      <c r="EF61" s="1185">
        <v>8772</v>
      </c>
      <c r="EG61" s="1184"/>
      <c r="EH61" s="1185">
        <v>8822</v>
      </c>
      <c r="EI61" s="1184"/>
      <c r="EJ61" s="1185">
        <v>8905</v>
      </c>
      <c r="EK61" s="1184"/>
      <c r="EL61" s="1185">
        <v>8866</v>
      </c>
      <c r="EM61" s="1184"/>
      <c r="EN61" s="1185">
        <v>8732</v>
      </c>
      <c r="EO61" s="1184"/>
      <c r="EP61" s="1185">
        <v>8634</v>
      </c>
      <c r="EQ61" s="1184"/>
      <c r="ER61" s="1185">
        <v>8519</v>
      </c>
      <c r="ES61" s="1184"/>
      <c r="ET61" s="1185">
        <v>8196</v>
      </c>
      <c r="EU61" s="1184"/>
      <c r="EV61" s="1185">
        <v>8059</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6380</v>
      </c>
      <c r="FS61" s="1190"/>
      <c r="FT61" s="1188"/>
      <c r="FU61" s="1191">
        <v>5836</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2.6</v>
      </c>
      <c r="GP61" s="1082">
        <v>0</v>
      </c>
      <c r="GQ61" s="1083">
        <v>2.6</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t="s">
        <v>777</v>
      </c>
      <c r="FN66" s="1221"/>
      <c r="FO66" s="1181"/>
      <c r="FP66" s="1187">
        <v>9</v>
      </c>
      <c r="FQ66" s="1222">
        <v>4.0999999999999996</v>
      </c>
      <c r="FR66" s="1223">
        <v>2.4</v>
      </c>
      <c r="FS66" s="1190">
        <v>9</v>
      </c>
      <c r="FT66" s="1222">
        <v>2.4</v>
      </c>
      <c r="FU66" s="1224">
        <v>1.4</v>
      </c>
      <c r="FV66" s="1225"/>
      <c r="FW66" s="1226"/>
      <c r="FX66" s="1226"/>
      <c r="FY66" s="1226"/>
      <c r="FZ66" s="1226"/>
      <c r="GA66" s="1226"/>
      <c r="GB66" s="1226"/>
      <c r="GC66" s="1227"/>
      <c r="GD66" s="1190"/>
      <c r="GE66" s="1228">
        <v>2.4</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t="s">
        <v>327</v>
      </c>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t="str">
        <f>$G68</f>
        <v>(C)室内全熱負荷以降の外気負荷等は、熱源容量計算用の基準別、時刻別の値です。外気負荷を含めた空調機の容量の計算等は別紙「ACU-2系統 空調機容量の計算」をご参照ください。</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t="str">
        <f>$G68</f>
        <v>(C)室内全熱負荷以降の外気負荷等は、熱源容量計算用の基準別、時刻別の値です。外気負荷を含めた空調機の容量の計算等は別紙「ACU-2系統 空調機容量の計算」をご参照ください。</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3"/>
  <sheetViews>
    <sheetView showGridLines="0" zoomScale="90" zoomScaleNormal="90" workbookViewId="0">
      <selection sqref="A1:E1"/>
    </sheetView>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1</v>
      </c>
    </row>
    <row r="6" spans="1:5" ht="30" customHeight="1">
      <c r="A6" s="6"/>
    </row>
    <row r="7" spans="1:5" ht="30" customHeight="1">
      <c r="A7" s="6" t="s">
        <v>2</v>
      </c>
    </row>
    <row r="8" spans="1:5" ht="30" customHeight="1">
      <c r="A8" s="6" t="s">
        <v>26</v>
      </c>
    </row>
    <row r="9" spans="1:5" ht="30" customHeight="1">
      <c r="A9" s="6" t="s">
        <v>100</v>
      </c>
    </row>
    <row r="10" spans="1:5" ht="30" customHeight="1">
      <c r="A10" s="6" t="s">
        <v>101</v>
      </c>
    </row>
    <row r="11" spans="1:5" ht="30" customHeight="1">
      <c r="A11" s="6" t="s">
        <v>198</v>
      </c>
    </row>
    <row r="12" spans="1:5" ht="30" customHeight="1">
      <c r="A12" s="6"/>
    </row>
    <row r="13" spans="1:5" ht="30" customHeight="1">
      <c r="A13" s="6"/>
    </row>
  </sheetData>
  <sheetProtection insertRows="0" deleteRows="0" sort="0" autoFilter="0"/>
  <phoneticPr fontId="3"/>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oddFooter>&amp;C&amp;"ＭＳ Ｐゴシック,標準"&amp;9( &amp;P / &amp;N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650</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643</v>
      </c>
      <c r="B3" s="385">
        <v>209</v>
      </c>
      <c r="C3" s="386" t="s">
        <v>336</v>
      </c>
      <c r="D3" s="387" t="s">
        <v>667</v>
      </c>
      <c r="E3" s="387"/>
      <c r="F3" s="387"/>
      <c r="G3" s="387"/>
      <c r="H3" s="387"/>
      <c r="I3" s="387"/>
      <c r="J3" s="388"/>
      <c r="K3" s="389" t="s">
        <v>338</v>
      </c>
      <c r="L3" s="390"/>
      <c r="M3" s="389" t="s">
        <v>668</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209</v>
      </c>
      <c r="BF3" s="386" t="s">
        <v>335</v>
      </c>
      <c r="BG3" s="398" t="s">
        <v>665</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209</v>
      </c>
      <c r="DI3" s="386" t="s">
        <v>335</v>
      </c>
      <c r="DJ3" s="398" t="s">
        <v>665</v>
      </c>
      <c r="DK3" s="398"/>
      <c r="DL3" s="398"/>
      <c r="DM3" s="398"/>
      <c r="DN3" s="398"/>
      <c r="DO3" s="398"/>
      <c r="DP3" s="399"/>
      <c r="DQ3" s="389" t="s">
        <v>338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209</v>
      </c>
      <c r="FL3" s="386" t="s">
        <v>335</v>
      </c>
      <c r="FM3" s="398" t="s">
        <v>665</v>
      </c>
      <c r="FN3" s="398"/>
      <c r="FO3" s="398"/>
      <c r="FP3" s="398"/>
      <c r="FQ3" s="398"/>
      <c r="FR3" s="398"/>
      <c r="FS3" s="399"/>
      <c r="FT3" s="389" t="s">
        <v>338</v>
      </c>
      <c r="FU3" s="390"/>
      <c r="FV3" s="389" t="s">
        <v>339</v>
      </c>
      <c r="FW3" s="390"/>
      <c r="FX3" s="391" t="s">
        <v>769</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35.25</v>
      </c>
      <c r="E5" s="433" t="s">
        <v>350</v>
      </c>
      <c r="F5" s="434">
        <v>2.7</v>
      </c>
      <c r="G5" s="435" t="s">
        <v>351</v>
      </c>
      <c r="H5" s="436"/>
      <c r="I5" s="437">
        <v>95.199999999999989</v>
      </c>
      <c r="J5" s="438"/>
      <c r="K5" s="439">
        <v>540</v>
      </c>
      <c r="L5" s="440"/>
      <c r="M5" s="439">
        <v>30</v>
      </c>
      <c r="N5" s="440"/>
      <c r="O5" s="1470" t="s">
        <v>797</v>
      </c>
      <c r="P5" s="441"/>
      <c r="Q5" s="1471" t="s">
        <v>832</v>
      </c>
      <c r="R5" s="442"/>
      <c r="S5" s="1472" t="s">
        <v>833</v>
      </c>
      <c r="T5" s="443"/>
      <c r="U5" s="1473" t="s">
        <v>834</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35.25</v>
      </c>
      <c r="BH5" s="433" t="s">
        <v>350</v>
      </c>
      <c r="BI5" s="434">
        <v>2.7</v>
      </c>
      <c r="BJ5" s="435" t="s">
        <v>351</v>
      </c>
      <c r="BK5" s="436"/>
      <c r="BL5" s="437">
        <v>95.199999999999989</v>
      </c>
      <c r="BM5" s="438"/>
      <c r="BN5" s="439">
        <v>540</v>
      </c>
      <c r="BO5" s="440"/>
      <c r="BP5" s="439">
        <v>30</v>
      </c>
      <c r="BQ5" s="440"/>
      <c r="BR5" s="1470" t="s">
        <v>762</v>
      </c>
      <c r="BS5" s="441"/>
      <c r="BT5" s="1471" t="s">
        <v>835</v>
      </c>
      <c r="BU5" s="442"/>
      <c r="BV5" s="1472" t="s">
        <v>833</v>
      </c>
      <c r="BW5" s="443"/>
      <c r="BX5" s="1473" t="s">
        <v>834</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35.25</v>
      </c>
      <c r="DK5" s="433" t="s">
        <v>350</v>
      </c>
      <c r="DL5" s="434">
        <v>2.7</v>
      </c>
      <c r="DM5" s="435" t="s">
        <v>351</v>
      </c>
      <c r="DN5" s="436"/>
      <c r="DO5" s="437">
        <v>95.199999999999989</v>
      </c>
      <c r="DP5" s="438"/>
      <c r="DQ5" s="439">
        <v>540</v>
      </c>
      <c r="DR5" s="440"/>
      <c r="DS5" s="439">
        <v>30</v>
      </c>
      <c r="DT5" s="440"/>
      <c r="DU5" s="1470" t="s">
        <v>762</v>
      </c>
      <c r="DV5" s="441"/>
      <c r="DW5" s="1471" t="s">
        <v>832</v>
      </c>
      <c r="DX5" s="442"/>
      <c r="DY5" s="1472" t="s">
        <v>833</v>
      </c>
      <c r="DZ5" s="443"/>
      <c r="EA5" s="1473" t="s">
        <v>834</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35.25</v>
      </c>
      <c r="FN5" s="433" t="s">
        <v>350</v>
      </c>
      <c r="FO5" s="434">
        <v>2.7</v>
      </c>
      <c r="FP5" s="435" t="s">
        <v>351</v>
      </c>
      <c r="FQ5" s="436"/>
      <c r="FR5" s="437">
        <v>95.199999999999989</v>
      </c>
      <c r="FS5" s="438"/>
      <c r="FT5" s="439">
        <v>540</v>
      </c>
      <c r="FU5" s="440"/>
      <c r="FV5" s="439">
        <v>30</v>
      </c>
      <c r="FW5" s="440"/>
      <c r="FX5" s="1470" t="s">
        <v>836</v>
      </c>
      <c r="FY5" s="441"/>
      <c r="FZ5" s="1471" t="s">
        <v>837</v>
      </c>
      <c r="GA5" s="442"/>
      <c r="GB5" s="1472" t="s">
        <v>838</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658</v>
      </c>
      <c r="E9" s="522" t="s">
        <v>659</v>
      </c>
      <c r="F9" s="523" t="s">
        <v>265</v>
      </c>
      <c r="G9" s="524" t="s">
        <v>660</v>
      </c>
      <c r="H9" s="525" t="s">
        <v>661</v>
      </c>
      <c r="I9" s="526" t="s">
        <v>268</v>
      </c>
      <c r="J9" s="525" t="s">
        <v>661</v>
      </c>
      <c r="K9" s="526" t="s">
        <v>268</v>
      </c>
      <c r="L9" s="525" t="s">
        <v>661</v>
      </c>
      <c r="M9" s="526" t="s">
        <v>268</v>
      </c>
      <c r="N9" s="525" t="s">
        <v>661</v>
      </c>
      <c r="O9" s="526" t="s">
        <v>268</v>
      </c>
      <c r="P9" s="525" t="s">
        <v>661</v>
      </c>
      <c r="Q9" s="526" t="s">
        <v>268</v>
      </c>
      <c r="R9" s="525" t="s">
        <v>661</v>
      </c>
      <c r="S9" s="526" t="s">
        <v>268</v>
      </c>
      <c r="T9" s="525" t="s">
        <v>661</v>
      </c>
      <c r="U9" s="526" t="s">
        <v>268</v>
      </c>
      <c r="V9" s="525" t="s">
        <v>661</v>
      </c>
      <c r="W9" s="526" t="s">
        <v>268</v>
      </c>
      <c r="X9" s="525" t="s">
        <v>661</v>
      </c>
      <c r="Y9" s="526" t="s">
        <v>268</v>
      </c>
      <c r="Z9" s="525" t="s">
        <v>661</v>
      </c>
      <c r="AA9" s="526" t="s">
        <v>268</v>
      </c>
      <c r="AB9" s="525" t="s">
        <v>661</v>
      </c>
      <c r="AC9" s="526" t="s">
        <v>268</v>
      </c>
      <c r="AD9" s="525" t="s">
        <v>661</v>
      </c>
      <c r="AE9" s="526" t="s">
        <v>268</v>
      </c>
      <c r="AF9" s="525" t="s">
        <v>661</v>
      </c>
      <c r="AG9" s="526" t="s">
        <v>268</v>
      </c>
      <c r="AH9" s="525" t="s">
        <v>661</v>
      </c>
      <c r="AI9" s="526" t="s">
        <v>268</v>
      </c>
      <c r="AJ9" s="525" t="s">
        <v>661</v>
      </c>
      <c r="AK9" s="526" t="s">
        <v>268</v>
      </c>
      <c r="AL9" s="525" t="s">
        <v>661</v>
      </c>
      <c r="AM9" s="526" t="s">
        <v>268</v>
      </c>
      <c r="AN9" s="525" t="s">
        <v>661</v>
      </c>
      <c r="AO9" s="526" t="s">
        <v>268</v>
      </c>
      <c r="AP9" s="525" t="s">
        <v>661</v>
      </c>
      <c r="AQ9" s="526" t="s">
        <v>268</v>
      </c>
      <c r="AR9" s="525" t="s">
        <v>661</v>
      </c>
      <c r="AS9" s="526" t="s">
        <v>268</v>
      </c>
      <c r="AT9" s="525" t="s">
        <v>661</v>
      </c>
      <c r="AU9" s="526" t="s">
        <v>268</v>
      </c>
      <c r="AV9" s="525" t="s">
        <v>661</v>
      </c>
      <c r="AW9" s="526" t="s">
        <v>268</v>
      </c>
      <c r="AX9" s="525" t="s">
        <v>661</v>
      </c>
      <c r="AY9" s="526" t="s">
        <v>268</v>
      </c>
      <c r="AZ9" s="525" t="s">
        <v>661</v>
      </c>
      <c r="BA9" s="526" t="s">
        <v>268</v>
      </c>
      <c r="BB9" s="527" t="s">
        <v>271</v>
      </c>
      <c r="BC9" s="490"/>
      <c r="BD9" s="519" t="s">
        <v>260</v>
      </c>
      <c r="BE9" s="520" t="s">
        <v>261</v>
      </c>
      <c r="BF9" s="521" t="s">
        <v>262</v>
      </c>
      <c r="BG9" s="521" t="s">
        <v>658</v>
      </c>
      <c r="BH9" s="522" t="s">
        <v>659</v>
      </c>
      <c r="BI9" s="523" t="s">
        <v>265</v>
      </c>
      <c r="BJ9" s="524" t="s">
        <v>660</v>
      </c>
      <c r="BK9" s="525" t="s">
        <v>661</v>
      </c>
      <c r="BL9" s="526" t="s">
        <v>268</v>
      </c>
      <c r="BM9" s="525" t="s">
        <v>661</v>
      </c>
      <c r="BN9" s="526" t="s">
        <v>268</v>
      </c>
      <c r="BO9" s="525" t="s">
        <v>661</v>
      </c>
      <c r="BP9" s="526" t="s">
        <v>268</v>
      </c>
      <c r="BQ9" s="525" t="s">
        <v>661</v>
      </c>
      <c r="BR9" s="526" t="s">
        <v>268</v>
      </c>
      <c r="BS9" s="525" t="s">
        <v>661</v>
      </c>
      <c r="BT9" s="526" t="s">
        <v>268</v>
      </c>
      <c r="BU9" s="525" t="s">
        <v>661</v>
      </c>
      <c r="BV9" s="526" t="s">
        <v>268</v>
      </c>
      <c r="BW9" s="525" t="s">
        <v>661</v>
      </c>
      <c r="BX9" s="526" t="s">
        <v>268</v>
      </c>
      <c r="BY9" s="525" t="s">
        <v>661</v>
      </c>
      <c r="BZ9" s="526" t="s">
        <v>268</v>
      </c>
      <c r="CA9" s="525" t="s">
        <v>661</v>
      </c>
      <c r="CB9" s="526" t="s">
        <v>268</v>
      </c>
      <c r="CC9" s="525" t="s">
        <v>661</v>
      </c>
      <c r="CD9" s="526" t="s">
        <v>268</v>
      </c>
      <c r="CE9" s="525" t="s">
        <v>661</v>
      </c>
      <c r="CF9" s="526" t="s">
        <v>268</v>
      </c>
      <c r="CG9" s="525" t="s">
        <v>661</v>
      </c>
      <c r="CH9" s="526" t="s">
        <v>268</v>
      </c>
      <c r="CI9" s="525" t="s">
        <v>661</v>
      </c>
      <c r="CJ9" s="526" t="s">
        <v>268</v>
      </c>
      <c r="CK9" s="525" t="s">
        <v>661</v>
      </c>
      <c r="CL9" s="526" t="s">
        <v>268</v>
      </c>
      <c r="CM9" s="525" t="s">
        <v>661</v>
      </c>
      <c r="CN9" s="526" t="s">
        <v>268</v>
      </c>
      <c r="CO9" s="525" t="s">
        <v>661</v>
      </c>
      <c r="CP9" s="526" t="s">
        <v>268</v>
      </c>
      <c r="CQ9" s="525" t="s">
        <v>661</v>
      </c>
      <c r="CR9" s="526" t="s">
        <v>268</v>
      </c>
      <c r="CS9" s="525" t="s">
        <v>661</v>
      </c>
      <c r="CT9" s="526" t="s">
        <v>268</v>
      </c>
      <c r="CU9" s="525" t="s">
        <v>661</v>
      </c>
      <c r="CV9" s="526" t="s">
        <v>268</v>
      </c>
      <c r="CW9" s="525" t="s">
        <v>661</v>
      </c>
      <c r="CX9" s="526" t="s">
        <v>268</v>
      </c>
      <c r="CY9" s="525" t="s">
        <v>661</v>
      </c>
      <c r="CZ9" s="526" t="s">
        <v>268</v>
      </c>
      <c r="DA9" s="525" t="s">
        <v>661</v>
      </c>
      <c r="DB9" s="526" t="s">
        <v>268</v>
      </c>
      <c r="DC9" s="525" t="s">
        <v>661</v>
      </c>
      <c r="DD9" s="526" t="s">
        <v>268</v>
      </c>
      <c r="DE9" s="527" t="s">
        <v>271</v>
      </c>
      <c r="DF9" s="490"/>
      <c r="DG9" s="519" t="s">
        <v>260</v>
      </c>
      <c r="DH9" s="520" t="s">
        <v>261</v>
      </c>
      <c r="DI9" s="521" t="s">
        <v>262</v>
      </c>
      <c r="DJ9" s="521" t="s">
        <v>658</v>
      </c>
      <c r="DK9" s="522" t="s">
        <v>659</v>
      </c>
      <c r="DL9" s="523" t="s">
        <v>265</v>
      </c>
      <c r="DM9" s="524" t="s">
        <v>660</v>
      </c>
      <c r="DN9" s="525" t="s">
        <v>661</v>
      </c>
      <c r="DO9" s="526" t="s">
        <v>268</v>
      </c>
      <c r="DP9" s="525" t="s">
        <v>661</v>
      </c>
      <c r="DQ9" s="526" t="s">
        <v>268</v>
      </c>
      <c r="DR9" s="525" t="s">
        <v>661</v>
      </c>
      <c r="DS9" s="526" t="s">
        <v>268</v>
      </c>
      <c r="DT9" s="525" t="s">
        <v>661</v>
      </c>
      <c r="DU9" s="526" t="s">
        <v>268</v>
      </c>
      <c r="DV9" s="525" t="s">
        <v>661</v>
      </c>
      <c r="DW9" s="526" t="s">
        <v>268</v>
      </c>
      <c r="DX9" s="525" t="s">
        <v>661</v>
      </c>
      <c r="DY9" s="526" t="s">
        <v>268</v>
      </c>
      <c r="DZ9" s="525" t="s">
        <v>661</v>
      </c>
      <c r="EA9" s="526" t="s">
        <v>268</v>
      </c>
      <c r="EB9" s="525" t="s">
        <v>661</v>
      </c>
      <c r="EC9" s="526" t="s">
        <v>268</v>
      </c>
      <c r="ED9" s="525" t="s">
        <v>661</v>
      </c>
      <c r="EE9" s="526" t="s">
        <v>268</v>
      </c>
      <c r="EF9" s="525" t="s">
        <v>661</v>
      </c>
      <c r="EG9" s="526" t="s">
        <v>268</v>
      </c>
      <c r="EH9" s="525" t="s">
        <v>661</v>
      </c>
      <c r="EI9" s="526" t="s">
        <v>268</v>
      </c>
      <c r="EJ9" s="525" t="s">
        <v>661</v>
      </c>
      <c r="EK9" s="526" t="s">
        <v>268</v>
      </c>
      <c r="EL9" s="525" t="s">
        <v>661</v>
      </c>
      <c r="EM9" s="526" t="s">
        <v>268</v>
      </c>
      <c r="EN9" s="525" t="s">
        <v>661</v>
      </c>
      <c r="EO9" s="526" t="s">
        <v>268</v>
      </c>
      <c r="EP9" s="525" t="s">
        <v>661</v>
      </c>
      <c r="EQ9" s="526" t="s">
        <v>268</v>
      </c>
      <c r="ER9" s="525" t="s">
        <v>661</v>
      </c>
      <c r="ES9" s="526" t="s">
        <v>268</v>
      </c>
      <c r="ET9" s="525" t="s">
        <v>661</v>
      </c>
      <c r="EU9" s="526" t="s">
        <v>268</v>
      </c>
      <c r="EV9" s="525" t="s">
        <v>661</v>
      </c>
      <c r="EW9" s="526" t="s">
        <v>268</v>
      </c>
      <c r="EX9" s="525" t="s">
        <v>661</v>
      </c>
      <c r="EY9" s="526" t="s">
        <v>268</v>
      </c>
      <c r="EZ9" s="525" t="s">
        <v>661</v>
      </c>
      <c r="FA9" s="526" t="s">
        <v>268</v>
      </c>
      <c r="FB9" s="525" t="s">
        <v>661</v>
      </c>
      <c r="FC9" s="526" t="s">
        <v>268</v>
      </c>
      <c r="FD9" s="525" t="s">
        <v>661</v>
      </c>
      <c r="FE9" s="526" t="s">
        <v>268</v>
      </c>
      <c r="FF9" s="525" t="s">
        <v>661</v>
      </c>
      <c r="FG9" s="526" t="s">
        <v>268</v>
      </c>
      <c r="FH9" s="527" t="s">
        <v>271</v>
      </c>
      <c r="FI9" s="528"/>
      <c r="FJ9" s="529" t="s">
        <v>260</v>
      </c>
      <c r="FK9" s="520" t="s">
        <v>261</v>
      </c>
      <c r="FL9" s="521" t="s">
        <v>262</v>
      </c>
      <c r="FM9" s="521" t="s">
        <v>658</v>
      </c>
      <c r="FN9" s="522" t="s">
        <v>659</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73</v>
      </c>
      <c r="D10" s="542">
        <f>ROUND(7.53*0.85,2)</f>
        <v>6.4</v>
      </c>
      <c r="E10" s="540" t="s">
        <v>326</v>
      </c>
      <c r="F10" s="541" t="s">
        <v>197</v>
      </c>
      <c r="G10" s="543">
        <v>0</v>
      </c>
      <c r="H10" s="544">
        <f>ROUND(ROUND(7.53*0.85,2)*0.34*0,0)</f>
        <v>0</v>
      </c>
      <c r="I10" s="545">
        <v>0</v>
      </c>
      <c r="J10" s="546">
        <f>ROUND(ROUND(7.53*0.85,2)*0.34*0,0)</f>
        <v>0</v>
      </c>
      <c r="K10" s="547">
        <v>0</v>
      </c>
      <c r="L10" s="546">
        <f>ROUND(ROUND(7.53*0.85,2)*0.34*0,0)</f>
        <v>0</v>
      </c>
      <c r="M10" s="547">
        <v>0</v>
      </c>
      <c r="N10" s="546">
        <f>ROUND(ROUND(7.53*0.85,2)*0.34*0,0)</f>
        <v>0</v>
      </c>
      <c r="O10" s="547">
        <v>0</v>
      </c>
      <c r="P10" s="546">
        <f>ROUND(ROUND(7.53*0.85,2)*0.34*0,0)</f>
        <v>0</v>
      </c>
      <c r="Q10" s="547">
        <v>0</v>
      </c>
      <c r="R10" s="546">
        <f>ROUND(ROUND(7.53*0.85,2)*0.34*0,0)</f>
        <v>0</v>
      </c>
      <c r="S10" s="547">
        <v>0</v>
      </c>
      <c r="T10" s="546">
        <f>ROUND(ROUND(7.53*0.85,2)*0.34*0,0)</f>
        <v>0</v>
      </c>
      <c r="U10" s="547">
        <v>0</v>
      </c>
      <c r="V10" s="546">
        <f>ROUND(ROUND(7.53*0.85,2)*0.34*0,0)</f>
        <v>0</v>
      </c>
      <c r="W10" s="547">
        <v>86</v>
      </c>
      <c r="X10" s="546">
        <f>ROUND(ROUND(7.53*0.85,2)*0.34*86,0)</f>
        <v>187</v>
      </c>
      <c r="Y10" s="547">
        <v>93</v>
      </c>
      <c r="Z10" s="546">
        <f>ROUND(ROUND(7.53*0.85,2)*0.34*93,0)</f>
        <v>202</v>
      </c>
      <c r="AA10" s="547">
        <v>95</v>
      </c>
      <c r="AB10" s="546">
        <f>ROUND(ROUND(7.53*0.85,2)*0.34*95,0)</f>
        <v>207</v>
      </c>
      <c r="AC10" s="547">
        <v>94</v>
      </c>
      <c r="AD10" s="546">
        <f>ROUND(ROUND(7.53*0.85,2)*0.34*94,0)</f>
        <v>205</v>
      </c>
      <c r="AE10" s="547">
        <v>93</v>
      </c>
      <c r="AF10" s="546">
        <f>ROUND(ROUND(7.53*0.85,2)*0.34*93,0)</f>
        <v>202</v>
      </c>
      <c r="AG10" s="547">
        <v>90</v>
      </c>
      <c r="AH10" s="546">
        <f>ROUND(ROUND(7.53*0.85,2)*0.34*90,0)</f>
        <v>196</v>
      </c>
      <c r="AI10" s="547">
        <v>80</v>
      </c>
      <c r="AJ10" s="546">
        <f>ROUND(ROUND(7.53*0.85,2)*0.34*80,0)</f>
        <v>174</v>
      </c>
      <c r="AK10" s="547">
        <v>63</v>
      </c>
      <c r="AL10" s="546">
        <f>ROUND(ROUND(7.53*0.85,2)*0.34*63,0)</f>
        <v>137</v>
      </c>
      <c r="AM10" s="547">
        <v>62</v>
      </c>
      <c r="AN10" s="546">
        <f>ROUND(ROUND(7.53*0.85,2)*0.34*62,0)</f>
        <v>135</v>
      </c>
      <c r="AO10" s="547">
        <v>26</v>
      </c>
      <c r="AP10" s="546">
        <f>ROUND(ROUND(7.53*0.85,2)*0.34*26,0)</f>
        <v>57</v>
      </c>
      <c r="AQ10" s="547">
        <v>0</v>
      </c>
      <c r="AR10" s="546">
        <f>ROUND(ROUND(7.53*0.85,2)*0.34*0,0)</f>
        <v>0</v>
      </c>
      <c r="AS10" s="547">
        <v>0</v>
      </c>
      <c r="AT10" s="546">
        <f>ROUND(ROUND(7.53*0.85,2)*0.34*0,0)</f>
        <v>0</v>
      </c>
      <c r="AU10" s="547">
        <v>0</v>
      </c>
      <c r="AV10" s="546">
        <f>ROUND(ROUND(7.53*0.85,2)*0.34*0,0)</f>
        <v>0</v>
      </c>
      <c r="AW10" s="547">
        <v>0</v>
      </c>
      <c r="AX10" s="546">
        <f>ROUND(ROUND(7.53*0.85,2)*0.34*0,0)</f>
        <v>0</v>
      </c>
      <c r="AY10" s="547">
        <v>0</v>
      </c>
      <c r="AZ10" s="546">
        <f>ROUND(ROUND(7.53*0.85,2)*0.34*0,0)</f>
        <v>0</v>
      </c>
      <c r="BA10" s="547">
        <v>0</v>
      </c>
      <c r="BB10" s="548">
        <f>ROUND(ROUND(7.53*0.85,2)*0.34*0,0)</f>
        <v>0</v>
      </c>
      <c r="BC10" s="549"/>
      <c r="BD10" s="539"/>
      <c r="BE10" s="540"/>
      <c r="BF10" s="541"/>
      <c r="BG10" s="542"/>
      <c r="BH10" s="540"/>
      <c r="BI10" s="541"/>
      <c r="BJ10" s="543">
        <v>0</v>
      </c>
      <c r="BK10" s="544">
        <f>ROUND(ROUND(7.53*0.85,2)*0.34*0,0)</f>
        <v>0</v>
      </c>
      <c r="BL10" s="545">
        <v>0</v>
      </c>
      <c r="BM10" s="546">
        <f>ROUND(ROUND(7.53*0.85,2)*0.34*0,0)</f>
        <v>0</v>
      </c>
      <c r="BN10" s="547">
        <v>0</v>
      </c>
      <c r="BO10" s="546">
        <f>ROUND(ROUND(7.53*0.85,2)*0.34*0,0)</f>
        <v>0</v>
      </c>
      <c r="BP10" s="547">
        <v>0</v>
      </c>
      <c r="BQ10" s="546">
        <f>ROUND(ROUND(7.53*0.85,2)*0.34*0,0)</f>
        <v>0</v>
      </c>
      <c r="BR10" s="547">
        <v>0</v>
      </c>
      <c r="BS10" s="546">
        <f>ROUND(ROUND(7.53*0.85,2)*0.34*0,0)</f>
        <v>0</v>
      </c>
      <c r="BT10" s="547">
        <v>0</v>
      </c>
      <c r="BU10" s="546">
        <f>ROUND(ROUND(7.53*0.85,2)*0.34*0,0)</f>
        <v>0</v>
      </c>
      <c r="BV10" s="547">
        <v>0</v>
      </c>
      <c r="BW10" s="546">
        <f>ROUND(ROUND(7.53*0.85,2)*0.34*0,0)</f>
        <v>0</v>
      </c>
      <c r="BX10" s="547">
        <v>0</v>
      </c>
      <c r="BY10" s="546">
        <f>ROUND(ROUND(7.53*0.85,2)*0.34*0,0)</f>
        <v>0</v>
      </c>
      <c r="BZ10" s="547">
        <v>64</v>
      </c>
      <c r="CA10" s="546">
        <f>ROUND(ROUND(7.53*0.85,2)*0.34*64,0)</f>
        <v>139</v>
      </c>
      <c r="CB10" s="547">
        <v>64</v>
      </c>
      <c r="CC10" s="546">
        <f>ROUND(ROUND(7.53*0.85,2)*0.34*64,0)</f>
        <v>139</v>
      </c>
      <c r="CD10" s="547">
        <v>61</v>
      </c>
      <c r="CE10" s="546">
        <f>ROUND(ROUND(7.53*0.85,2)*0.34*61,0)</f>
        <v>133</v>
      </c>
      <c r="CF10" s="547">
        <v>59</v>
      </c>
      <c r="CG10" s="546">
        <f>ROUND(ROUND(7.53*0.85,2)*0.34*59,0)</f>
        <v>128</v>
      </c>
      <c r="CH10" s="547">
        <v>63</v>
      </c>
      <c r="CI10" s="546">
        <f>ROUND(ROUND(7.53*0.85,2)*0.34*63,0)</f>
        <v>137</v>
      </c>
      <c r="CJ10" s="547">
        <v>65</v>
      </c>
      <c r="CK10" s="546">
        <f>ROUND(ROUND(7.53*0.85,2)*0.34*65,0)</f>
        <v>141</v>
      </c>
      <c r="CL10" s="547">
        <v>63</v>
      </c>
      <c r="CM10" s="546">
        <f>ROUND(ROUND(7.53*0.85,2)*0.34*63,0)</f>
        <v>137</v>
      </c>
      <c r="CN10" s="547">
        <v>51</v>
      </c>
      <c r="CO10" s="546">
        <f>ROUND(ROUND(7.53*0.85,2)*0.34*51,0)</f>
        <v>111</v>
      </c>
      <c r="CP10" s="547">
        <v>92</v>
      </c>
      <c r="CQ10" s="546">
        <f>ROUND(ROUND(7.53*0.85,2)*0.34*92,0)</f>
        <v>200</v>
      </c>
      <c r="CR10" s="547">
        <v>81</v>
      </c>
      <c r="CS10" s="546">
        <f>ROUND(ROUND(7.53*0.85,2)*0.34*81,0)</f>
        <v>176</v>
      </c>
      <c r="CT10" s="547">
        <v>0</v>
      </c>
      <c r="CU10" s="546">
        <f>ROUND(ROUND(7.53*0.85,2)*0.34*0,0)</f>
        <v>0</v>
      </c>
      <c r="CV10" s="547">
        <v>0</v>
      </c>
      <c r="CW10" s="546">
        <f>ROUND(ROUND(7.53*0.85,2)*0.34*0,0)</f>
        <v>0</v>
      </c>
      <c r="CX10" s="547">
        <v>0</v>
      </c>
      <c r="CY10" s="546">
        <f>ROUND(ROUND(7.53*0.85,2)*0.34*0,0)</f>
        <v>0</v>
      </c>
      <c r="CZ10" s="547">
        <v>0</v>
      </c>
      <c r="DA10" s="546">
        <f>ROUND(ROUND(7.53*0.85,2)*0.34*0,0)</f>
        <v>0</v>
      </c>
      <c r="DB10" s="547">
        <v>0</v>
      </c>
      <c r="DC10" s="546">
        <f>ROUND(ROUND(7.53*0.85,2)*0.34*0,0)</f>
        <v>0</v>
      </c>
      <c r="DD10" s="547">
        <v>0</v>
      </c>
      <c r="DE10" s="548">
        <f>ROUND(ROUND(7.53*0.85,2)*0.34*0,0)</f>
        <v>0</v>
      </c>
      <c r="DF10" s="549"/>
      <c r="DG10" s="539"/>
      <c r="DH10" s="540"/>
      <c r="DI10" s="541"/>
      <c r="DJ10" s="542"/>
      <c r="DK10" s="540"/>
      <c r="DL10" s="541"/>
      <c r="DM10" s="543">
        <v>0</v>
      </c>
      <c r="DN10" s="544">
        <f>ROUND(ROUND(7.53*0.85,2)*0.34*0,0)</f>
        <v>0</v>
      </c>
      <c r="DO10" s="545">
        <v>0</v>
      </c>
      <c r="DP10" s="546">
        <f>ROUND(ROUND(7.53*0.85,2)*0.34*0,0)</f>
        <v>0</v>
      </c>
      <c r="DQ10" s="547">
        <v>0</v>
      </c>
      <c r="DR10" s="546">
        <f>ROUND(ROUND(7.53*0.85,2)*0.34*0,0)</f>
        <v>0</v>
      </c>
      <c r="DS10" s="547">
        <v>0</v>
      </c>
      <c r="DT10" s="546">
        <f>ROUND(ROUND(7.53*0.85,2)*0.34*0,0)</f>
        <v>0</v>
      </c>
      <c r="DU10" s="547">
        <v>0</v>
      </c>
      <c r="DV10" s="546">
        <f>ROUND(ROUND(7.53*0.85,2)*0.34*0,0)</f>
        <v>0</v>
      </c>
      <c r="DW10" s="547">
        <v>0</v>
      </c>
      <c r="DX10" s="546">
        <f>ROUND(ROUND(7.53*0.85,2)*0.34*0,0)</f>
        <v>0</v>
      </c>
      <c r="DY10" s="547">
        <v>0</v>
      </c>
      <c r="DZ10" s="546">
        <f>ROUND(ROUND(7.53*0.85,2)*0.34*0,0)</f>
        <v>0</v>
      </c>
      <c r="EA10" s="547">
        <v>0</v>
      </c>
      <c r="EB10" s="546">
        <f>ROUND(ROUND(7.53*0.85,2)*0.34*0,0)</f>
        <v>0</v>
      </c>
      <c r="EC10" s="547">
        <v>55</v>
      </c>
      <c r="ED10" s="546">
        <f>ROUND(ROUND(7.53*0.85,2)*0.34*55,0)</f>
        <v>120</v>
      </c>
      <c r="EE10" s="547">
        <v>56</v>
      </c>
      <c r="EF10" s="546">
        <f>ROUND(ROUND(7.53*0.85,2)*0.34*56,0)</f>
        <v>122</v>
      </c>
      <c r="EG10" s="547">
        <v>57</v>
      </c>
      <c r="EH10" s="546">
        <f>ROUND(ROUND(7.53*0.85,2)*0.34*57,0)</f>
        <v>124</v>
      </c>
      <c r="EI10" s="547">
        <v>56</v>
      </c>
      <c r="EJ10" s="546">
        <f>ROUND(ROUND(7.53*0.85,2)*0.34*56,0)</f>
        <v>122</v>
      </c>
      <c r="EK10" s="547">
        <v>57</v>
      </c>
      <c r="EL10" s="546">
        <f>ROUND(ROUND(7.53*0.85,2)*0.34*57,0)</f>
        <v>124</v>
      </c>
      <c r="EM10" s="547">
        <v>56</v>
      </c>
      <c r="EN10" s="546">
        <f>ROUND(ROUND(7.53*0.85,2)*0.34*56,0)</f>
        <v>122</v>
      </c>
      <c r="EO10" s="547">
        <v>51</v>
      </c>
      <c r="EP10" s="546">
        <f>ROUND(ROUND(7.53*0.85,2)*0.34*51,0)</f>
        <v>111</v>
      </c>
      <c r="EQ10" s="547">
        <v>39</v>
      </c>
      <c r="ER10" s="546">
        <f>ROUND(ROUND(7.53*0.85,2)*0.34*39,0)</f>
        <v>85</v>
      </c>
      <c r="ES10" s="547">
        <v>19</v>
      </c>
      <c r="ET10" s="546">
        <f>ROUND(ROUND(7.53*0.85,2)*0.34*19,0)</f>
        <v>41</v>
      </c>
      <c r="EU10" s="547">
        <v>2</v>
      </c>
      <c r="EV10" s="546">
        <f>ROUND(ROUND(7.53*0.85,2)*0.34*2,0)</f>
        <v>4</v>
      </c>
      <c r="EW10" s="547">
        <v>0</v>
      </c>
      <c r="EX10" s="546">
        <f>ROUND(ROUND(7.53*0.85,2)*0.34*0,0)</f>
        <v>0</v>
      </c>
      <c r="EY10" s="547">
        <v>0</v>
      </c>
      <c r="EZ10" s="546">
        <f>ROUND(ROUND(7.53*0.85,2)*0.34*0,0)</f>
        <v>0</v>
      </c>
      <c r="FA10" s="547">
        <v>0</v>
      </c>
      <c r="FB10" s="546">
        <f>ROUND(ROUND(7.53*0.85,2)*0.34*0,0)</f>
        <v>0</v>
      </c>
      <c r="FC10" s="547">
        <v>0</v>
      </c>
      <c r="FD10" s="546">
        <f>ROUND(ROUND(7.53*0.85,2)*0.34*0,0)</f>
        <v>0</v>
      </c>
      <c r="FE10" s="547">
        <v>0</v>
      </c>
      <c r="FF10" s="546">
        <f>ROUND(ROUND(7.53*0.85,2)*0.34*0,0)</f>
        <v>0</v>
      </c>
      <c r="FG10" s="547">
        <v>0</v>
      </c>
      <c r="FH10" s="548">
        <f>ROUND(ROUND(7.53*0.85,2)*0.34*0,0)</f>
        <v>0</v>
      </c>
      <c r="FI10" s="550"/>
      <c r="FJ10" s="551"/>
      <c r="FK10" s="540"/>
      <c r="FL10" s="541"/>
      <c r="FM10" s="542"/>
      <c r="FN10" s="540"/>
      <c r="FO10" s="541"/>
      <c r="FP10" s="552"/>
      <c r="FQ10" s="545"/>
      <c r="FR10" s="544" t="s">
        <v>494</v>
      </c>
      <c r="FS10" s="553"/>
      <c r="FT10" s="545"/>
      <c r="FU10" s="554" t="s">
        <v>494</v>
      </c>
      <c r="FV10" s="1255" t="s">
        <v>276</v>
      </c>
      <c r="FW10" s="1282"/>
      <c r="FX10" s="1283" t="s">
        <v>277</v>
      </c>
      <c r="FY10" s="1284"/>
      <c r="FZ10" s="1285" t="s">
        <v>278</v>
      </c>
      <c r="GA10" s="1286"/>
      <c r="GB10" s="1287" t="s">
        <v>666</v>
      </c>
      <c r="GC10" s="1288"/>
      <c r="GD10" s="563" t="s">
        <v>565</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494</v>
      </c>
      <c r="FS11" s="578"/>
      <c r="FT11" s="573"/>
      <c r="FU11" s="579" t="s">
        <v>494</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494</v>
      </c>
      <c r="FS12" s="578"/>
      <c r="FT12" s="573"/>
      <c r="FU12" s="579" t="s">
        <v>494</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527</v>
      </c>
      <c r="FS13" s="613"/>
      <c r="FT13" s="608"/>
      <c r="FU13" s="614" t="s">
        <v>527</v>
      </c>
      <c r="FV13" s="580"/>
      <c r="FW13" s="581"/>
      <c r="FX13" s="582"/>
      <c r="FY13" s="583"/>
      <c r="FZ13" s="584"/>
      <c r="GA13" s="585"/>
      <c r="GB13" s="586"/>
      <c r="GC13" s="587"/>
      <c r="GD13" s="586"/>
      <c r="GE13" s="588"/>
      <c r="GF13" s="486"/>
      <c r="GG13" s="589"/>
      <c r="GH13" s="589"/>
      <c r="GI13" s="589"/>
      <c r="GJ13" s="404"/>
      <c r="GK13" s="615">
        <v>209</v>
      </c>
      <c r="GL13" s="616"/>
      <c r="GM13" s="617" t="s">
        <v>431</v>
      </c>
      <c r="GN13" s="618">
        <v>7.53</v>
      </c>
      <c r="GO13" s="619">
        <v>0</v>
      </c>
      <c r="GP13" s="619">
        <v>1</v>
      </c>
      <c r="GQ13" s="620">
        <v>0</v>
      </c>
      <c r="GR13" s="621">
        <v>7.53</v>
      </c>
      <c r="GS13" s="565"/>
      <c r="GT13" s="404"/>
      <c r="GU13" s="615">
        <v>209</v>
      </c>
      <c r="GV13" s="616"/>
      <c r="GW13" s="622" t="s">
        <v>640</v>
      </c>
      <c r="GX13" s="623">
        <v>7.53</v>
      </c>
      <c r="GY13" s="624"/>
      <c r="GZ13" s="625">
        <v>0</v>
      </c>
      <c r="HA13" s="626">
        <v>0</v>
      </c>
      <c r="HB13" s="627"/>
      <c r="HC13" s="517"/>
      <c r="HD13" s="782"/>
      <c r="HE13" s="428"/>
      <c r="HF13" s="377"/>
      <c r="HG13" s="377"/>
    </row>
    <row r="14" spans="1:353" ht="20.100000000000001" customHeight="1">
      <c r="A14" s="628"/>
      <c r="B14" s="629"/>
      <c r="C14" s="629"/>
      <c r="D14" s="630" t="s">
        <v>496</v>
      </c>
      <c r="E14" s="629"/>
      <c r="F14" s="629"/>
      <c r="G14" s="1263"/>
      <c r="H14" s="1264">
        <f>SUM(H10:H13)</f>
        <v>0</v>
      </c>
      <c r="I14" s="1271"/>
      <c r="J14" s="1264">
        <f>SUM(J10:J13)</f>
        <v>0</v>
      </c>
      <c r="K14" s="1271"/>
      <c r="L14" s="1264">
        <f>SUM(L10:L13)</f>
        <v>0</v>
      </c>
      <c r="M14" s="1271"/>
      <c r="N14" s="1264">
        <f>SUM(N10:N13)</f>
        <v>0</v>
      </c>
      <c r="O14" s="1271"/>
      <c r="P14" s="1264">
        <f>SUM(P10:P13)</f>
        <v>0</v>
      </c>
      <c r="Q14" s="1271"/>
      <c r="R14" s="1264">
        <f>SUM(R10:R13)</f>
        <v>0</v>
      </c>
      <c r="S14" s="1271"/>
      <c r="T14" s="1264">
        <f>SUM(T10:T13)</f>
        <v>0</v>
      </c>
      <c r="U14" s="1271"/>
      <c r="V14" s="1264">
        <f>SUM(V10:V13)</f>
        <v>0</v>
      </c>
      <c r="W14" s="1271"/>
      <c r="X14" s="1264">
        <f>SUM(X10:X13)</f>
        <v>187</v>
      </c>
      <c r="Y14" s="1271"/>
      <c r="Z14" s="1264">
        <f>SUM(Z10:Z13)</f>
        <v>202</v>
      </c>
      <c r="AA14" s="1271"/>
      <c r="AB14" s="1264">
        <f>SUM(AB10:AB13)</f>
        <v>207</v>
      </c>
      <c r="AC14" s="1271"/>
      <c r="AD14" s="1264">
        <f>SUM(AD10:AD13)</f>
        <v>205</v>
      </c>
      <c r="AE14" s="1271"/>
      <c r="AF14" s="1264">
        <f>SUM(AF10:AF13)</f>
        <v>202</v>
      </c>
      <c r="AG14" s="1271"/>
      <c r="AH14" s="1264">
        <f>SUM(AH10:AH13)</f>
        <v>196</v>
      </c>
      <c r="AI14" s="1271"/>
      <c r="AJ14" s="1264">
        <f>SUM(AJ10:AJ13)</f>
        <v>174</v>
      </c>
      <c r="AK14" s="1271"/>
      <c r="AL14" s="1264">
        <f>SUM(AL10:AL13)</f>
        <v>137</v>
      </c>
      <c r="AM14" s="1271"/>
      <c r="AN14" s="1264">
        <f>SUM(AN10:AN13)</f>
        <v>135</v>
      </c>
      <c r="AO14" s="1271"/>
      <c r="AP14" s="1264">
        <f>SUM(AP10:AP13)</f>
        <v>57</v>
      </c>
      <c r="AQ14" s="1271"/>
      <c r="AR14" s="1264">
        <f>SUM(AR10:AR13)</f>
        <v>0</v>
      </c>
      <c r="AS14" s="1271"/>
      <c r="AT14" s="1264">
        <f>SUM(AT10:AT13)</f>
        <v>0</v>
      </c>
      <c r="AU14" s="1271"/>
      <c r="AV14" s="1264">
        <f>SUM(AV10:AV13)</f>
        <v>0</v>
      </c>
      <c r="AW14" s="1271"/>
      <c r="AX14" s="1264">
        <f>SUM(AX10:AX13)</f>
        <v>0</v>
      </c>
      <c r="AY14" s="1271"/>
      <c r="AZ14" s="1264">
        <f>SUM(AZ10:AZ13)</f>
        <v>0</v>
      </c>
      <c r="BA14" s="1271"/>
      <c r="BB14" s="1266">
        <f>SUM(BB10:BB13)</f>
        <v>0</v>
      </c>
      <c r="BC14" s="635"/>
      <c r="BD14" s="628"/>
      <c r="BE14" s="629"/>
      <c r="BF14" s="629"/>
      <c r="BG14" s="630" t="s">
        <v>496</v>
      </c>
      <c r="BH14" s="629"/>
      <c r="BI14" s="629"/>
      <c r="BJ14" s="1263"/>
      <c r="BK14" s="1264">
        <f>SUM(BK10:BK13)</f>
        <v>0</v>
      </c>
      <c r="BL14" s="1271"/>
      <c r="BM14" s="1264">
        <f>SUM(BM10:BM13)</f>
        <v>0</v>
      </c>
      <c r="BN14" s="1271"/>
      <c r="BO14" s="1264">
        <f>SUM(BO10:BO13)</f>
        <v>0</v>
      </c>
      <c r="BP14" s="1271"/>
      <c r="BQ14" s="1264">
        <f>SUM(BQ10:BQ13)</f>
        <v>0</v>
      </c>
      <c r="BR14" s="1271"/>
      <c r="BS14" s="1264">
        <f>SUM(BS10:BS13)</f>
        <v>0</v>
      </c>
      <c r="BT14" s="1271"/>
      <c r="BU14" s="1264">
        <f>SUM(BU10:BU13)</f>
        <v>0</v>
      </c>
      <c r="BV14" s="1271"/>
      <c r="BW14" s="1264">
        <f>SUM(BW10:BW13)</f>
        <v>0</v>
      </c>
      <c r="BX14" s="1271"/>
      <c r="BY14" s="1264">
        <f>SUM(BY10:BY13)</f>
        <v>0</v>
      </c>
      <c r="BZ14" s="1271"/>
      <c r="CA14" s="1264">
        <f>SUM(CA10:CA13)</f>
        <v>139</v>
      </c>
      <c r="CB14" s="1271"/>
      <c r="CC14" s="1264">
        <f>SUM(CC10:CC13)</f>
        <v>139</v>
      </c>
      <c r="CD14" s="1271"/>
      <c r="CE14" s="1264">
        <f>SUM(CE10:CE13)</f>
        <v>133</v>
      </c>
      <c r="CF14" s="1271"/>
      <c r="CG14" s="1264">
        <f>SUM(CG10:CG13)</f>
        <v>128</v>
      </c>
      <c r="CH14" s="1271"/>
      <c r="CI14" s="1264">
        <f>SUM(CI10:CI13)</f>
        <v>137</v>
      </c>
      <c r="CJ14" s="1271"/>
      <c r="CK14" s="1264">
        <f>SUM(CK10:CK13)</f>
        <v>141</v>
      </c>
      <c r="CL14" s="1271"/>
      <c r="CM14" s="1264">
        <f>SUM(CM10:CM13)</f>
        <v>137</v>
      </c>
      <c r="CN14" s="1271"/>
      <c r="CO14" s="1264">
        <f>SUM(CO10:CO13)</f>
        <v>111</v>
      </c>
      <c r="CP14" s="1271"/>
      <c r="CQ14" s="1264">
        <f>SUM(CQ10:CQ13)</f>
        <v>200</v>
      </c>
      <c r="CR14" s="1271"/>
      <c r="CS14" s="1264">
        <f>SUM(CS10:CS13)</f>
        <v>176</v>
      </c>
      <c r="CT14" s="1271"/>
      <c r="CU14" s="1264">
        <f>SUM(CU10:CU13)</f>
        <v>0</v>
      </c>
      <c r="CV14" s="1271"/>
      <c r="CW14" s="1264">
        <f>SUM(CW10:CW13)</f>
        <v>0</v>
      </c>
      <c r="CX14" s="1271"/>
      <c r="CY14" s="1264">
        <f>SUM(CY10:CY13)</f>
        <v>0</v>
      </c>
      <c r="CZ14" s="1271"/>
      <c r="DA14" s="1264">
        <f>SUM(DA10:DA13)</f>
        <v>0</v>
      </c>
      <c r="DB14" s="1271"/>
      <c r="DC14" s="1264">
        <f>SUM(DC10:DC13)</f>
        <v>0</v>
      </c>
      <c r="DD14" s="1271"/>
      <c r="DE14" s="1266">
        <f>SUM(DE10:DE13)</f>
        <v>0</v>
      </c>
      <c r="DF14" s="635"/>
      <c r="DG14" s="628"/>
      <c r="DH14" s="629"/>
      <c r="DI14" s="629"/>
      <c r="DJ14" s="630" t="s">
        <v>496</v>
      </c>
      <c r="DK14" s="629"/>
      <c r="DL14" s="629"/>
      <c r="DM14" s="1263"/>
      <c r="DN14" s="1264">
        <f>SUM(DN10:DN13)</f>
        <v>0</v>
      </c>
      <c r="DO14" s="1271"/>
      <c r="DP14" s="1264">
        <f>SUM(DP10:DP13)</f>
        <v>0</v>
      </c>
      <c r="DQ14" s="1271"/>
      <c r="DR14" s="1264">
        <f>SUM(DR10:DR13)</f>
        <v>0</v>
      </c>
      <c r="DS14" s="1271"/>
      <c r="DT14" s="1264">
        <f>SUM(DT10:DT13)</f>
        <v>0</v>
      </c>
      <c r="DU14" s="1271"/>
      <c r="DV14" s="1264">
        <f>SUM(DV10:DV13)</f>
        <v>0</v>
      </c>
      <c r="DW14" s="1271"/>
      <c r="DX14" s="1264">
        <f>SUM(DX10:DX13)</f>
        <v>0</v>
      </c>
      <c r="DY14" s="1271"/>
      <c r="DZ14" s="1264">
        <f>SUM(DZ10:DZ13)</f>
        <v>0</v>
      </c>
      <c r="EA14" s="1271"/>
      <c r="EB14" s="1264">
        <f>SUM(EB10:EB13)</f>
        <v>0</v>
      </c>
      <c r="EC14" s="1271"/>
      <c r="ED14" s="1264">
        <f>SUM(ED10:ED13)</f>
        <v>120</v>
      </c>
      <c r="EE14" s="1271"/>
      <c r="EF14" s="1264">
        <f>SUM(EF10:EF13)</f>
        <v>122</v>
      </c>
      <c r="EG14" s="1271"/>
      <c r="EH14" s="1264">
        <f>SUM(EH10:EH13)</f>
        <v>124</v>
      </c>
      <c r="EI14" s="1271"/>
      <c r="EJ14" s="1264">
        <f>SUM(EJ10:EJ13)</f>
        <v>122</v>
      </c>
      <c r="EK14" s="1271"/>
      <c r="EL14" s="1264">
        <f>SUM(EL10:EL13)</f>
        <v>124</v>
      </c>
      <c r="EM14" s="1271"/>
      <c r="EN14" s="1264">
        <f>SUM(EN10:EN13)</f>
        <v>122</v>
      </c>
      <c r="EO14" s="1271"/>
      <c r="EP14" s="1264">
        <f>SUM(EP10:EP13)</f>
        <v>111</v>
      </c>
      <c r="EQ14" s="1271"/>
      <c r="ER14" s="1264">
        <f>SUM(ER10:ER13)</f>
        <v>85</v>
      </c>
      <c r="ES14" s="1271"/>
      <c r="ET14" s="1264">
        <f>SUM(ET10:ET13)</f>
        <v>41</v>
      </c>
      <c r="EU14" s="1271"/>
      <c r="EV14" s="1264">
        <f>SUM(EV10:EV13)</f>
        <v>4</v>
      </c>
      <c r="EW14" s="1271"/>
      <c r="EX14" s="1264">
        <f>SUM(EX10:EX13)</f>
        <v>0</v>
      </c>
      <c r="EY14" s="1271"/>
      <c r="EZ14" s="1264">
        <f>SUM(EZ10:EZ13)</f>
        <v>0</v>
      </c>
      <c r="FA14" s="1271"/>
      <c r="FB14" s="1264">
        <f>SUM(FB10:FB13)</f>
        <v>0</v>
      </c>
      <c r="FC14" s="1271"/>
      <c r="FD14" s="1264">
        <f>SUM(FD10:FD13)</f>
        <v>0</v>
      </c>
      <c r="FE14" s="1271"/>
      <c r="FF14" s="1264">
        <f>SUM(FF10:FF13)</f>
        <v>0</v>
      </c>
      <c r="FG14" s="1271"/>
      <c r="FH14" s="1266">
        <f>SUM(FH10:FH13)</f>
        <v>0</v>
      </c>
      <c r="FI14" s="636"/>
      <c r="FJ14" s="551"/>
      <c r="FK14" s="629"/>
      <c r="FL14" s="629"/>
      <c r="FM14" s="630" t="s">
        <v>496</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499</v>
      </c>
      <c r="E15" s="647" t="s">
        <v>285</v>
      </c>
      <c r="F15" s="648" t="s">
        <v>104</v>
      </c>
      <c r="G15" s="649" t="s">
        <v>503</v>
      </c>
      <c r="H15" s="650" t="s">
        <v>502</v>
      </c>
      <c r="I15" s="651" t="s">
        <v>288</v>
      </c>
      <c r="J15" s="650" t="s">
        <v>502</v>
      </c>
      <c r="K15" s="651" t="s">
        <v>288</v>
      </c>
      <c r="L15" s="650" t="s">
        <v>502</v>
      </c>
      <c r="M15" s="651" t="s">
        <v>288</v>
      </c>
      <c r="N15" s="650" t="s">
        <v>502</v>
      </c>
      <c r="O15" s="651" t="s">
        <v>288</v>
      </c>
      <c r="P15" s="650" t="s">
        <v>502</v>
      </c>
      <c r="Q15" s="651" t="s">
        <v>288</v>
      </c>
      <c r="R15" s="650" t="s">
        <v>502</v>
      </c>
      <c r="S15" s="651" t="s">
        <v>288</v>
      </c>
      <c r="T15" s="650" t="s">
        <v>502</v>
      </c>
      <c r="U15" s="651" t="s">
        <v>288</v>
      </c>
      <c r="V15" s="650" t="s">
        <v>502</v>
      </c>
      <c r="W15" s="651" t="s">
        <v>288</v>
      </c>
      <c r="X15" s="650" t="s">
        <v>502</v>
      </c>
      <c r="Y15" s="651" t="s">
        <v>288</v>
      </c>
      <c r="Z15" s="650" t="s">
        <v>502</v>
      </c>
      <c r="AA15" s="651" t="s">
        <v>288</v>
      </c>
      <c r="AB15" s="650" t="s">
        <v>502</v>
      </c>
      <c r="AC15" s="651" t="s">
        <v>288</v>
      </c>
      <c r="AD15" s="650" t="s">
        <v>502</v>
      </c>
      <c r="AE15" s="651" t="s">
        <v>288</v>
      </c>
      <c r="AF15" s="650" t="s">
        <v>502</v>
      </c>
      <c r="AG15" s="651" t="s">
        <v>288</v>
      </c>
      <c r="AH15" s="650" t="s">
        <v>502</v>
      </c>
      <c r="AI15" s="651" t="s">
        <v>288</v>
      </c>
      <c r="AJ15" s="650" t="s">
        <v>502</v>
      </c>
      <c r="AK15" s="651" t="s">
        <v>288</v>
      </c>
      <c r="AL15" s="650" t="s">
        <v>502</v>
      </c>
      <c r="AM15" s="651" t="s">
        <v>288</v>
      </c>
      <c r="AN15" s="650" t="s">
        <v>502</v>
      </c>
      <c r="AO15" s="651" t="s">
        <v>288</v>
      </c>
      <c r="AP15" s="650" t="s">
        <v>502</v>
      </c>
      <c r="AQ15" s="651" t="s">
        <v>288</v>
      </c>
      <c r="AR15" s="650" t="s">
        <v>662</v>
      </c>
      <c r="AS15" s="651" t="s">
        <v>288</v>
      </c>
      <c r="AT15" s="650" t="s">
        <v>502</v>
      </c>
      <c r="AU15" s="651" t="s">
        <v>288</v>
      </c>
      <c r="AV15" s="650" t="s">
        <v>502</v>
      </c>
      <c r="AW15" s="651" t="s">
        <v>288</v>
      </c>
      <c r="AX15" s="650" t="s">
        <v>502</v>
      </c>
      <c r="AY15" s="651" t="s">
        <v>288</v>
      </c>
      <c r="AZ15" s="650" t="s">
        <v>502</v>
      </c>
      <c r="BA15" s="651" t="s">
        <v>288</v>
      </c>
      <c r="BB15" s="652" t="s">
        <v>291</v>
      </c>
      <c r="BC15" s="653"/>
      <c r="BD15" s="519" t="s">
        <v>283</v>
      </c>
      <c r="BE15" s="645" t="s">
        <v>261</v>
      </c>
      <c r="BF15" s="646" t="s">
        <v>262</v>
      </c>
      <c r="BG15" s="647" t="s">
        <v>499</v>
      </c>
      <c r="BH15" s="647" t="s">
        <v>285</v>
      </c>
      <c r="BI15" s="648" t="s">
        <v>104</v>
      </c>
      <c r="BJ15" s="649" t="s">
        <v>503</v>
      </c>
      <c r="BK15" s="650" t="s">
        <v>502</v>
      </c>
      <c r="BL15" s="651" t="s">
        <v>288</v>
      </c>
      <c r="BM15" s="650" t="s">
        <v>502</v>
      </c>
      <c r="BN15" s="651" t="s">
        <v>288</v>
      </c>
      <c r="BO15" s="650" t="s">
        <v>502</v>
      </c>
      <c r="BP15" s="651" t="s">
        <v>288</v>
      </c>
      <c r="BQ15" s="650" t="s">
        <v>502</v>
      </c>
      <c r="BR15" s="651" t="s">
        <v>288</v>
      </c>
      <c r="BS15" s="650" t="s">
        <v>502</v>
      </c>
      <c r="BT15" s="651" t="s">
        <v>288</v>
      </c>
      <c r="BU15" s="650" t="s">
        <v>502</v>
      </c>
      <c r="BV15" s="651" t="s">
        <v>288</v>
      </c>
      <c r="BW15" s="650" t="s">
        <v>502</v>
      </c>
      <c r="BX15" s="651" t="s">
        <v>288</v>
      </c>
      <c r="BY15" s="650" t="s">
        <v>502</v>
      </c>
      <c r="BZ15" s="651" t="s">
        <v>288</v>
      </c>
      <c r="CA15" s="650" t="s">
        <v>502</v>
      </c>
      <c r="CB15" s="651" t="s">
        <v>288</v>
      </c>
      <c r="CC15" s="650" t="s">
        <v>502</v>
      </c>
      <c r="CD15" s="651" t="s">
        <v>288</v>
      </c>
      <c r="CE15" s="650" t="s">
        <v>502</v>
      </c>
      <c r="CF15" s="651" t="s">
        <v>288</v>
      </c>
      <c r="CG15" s="650" t="s">
        <v>502</v>
      </c>
      <c r="CH15" s="651" t="s">
        <v>288</v>
      </c>
      <c r="CI15" s="650" t="s">
        <v>502</v>
      </c>
      <c r="CJ15" s="651" t="s">
        <v>288</v>
      </c>
      <c r="CK15" s="650" t="s">
        <v>502</v>
      </c>
      <c r="CL15" s="651" t="s">
        <v>288</v>
      </c>
      <c r="CM15" s="650" t="s">
        <v>502</v>
      </c>
      <c r="CN15" s="651" t="s">
        <v>288</v>
      </c>
      <c r="CO15" s="650" t="s">
        <v>502</v>
      </c>
      <c r="CP15" s="651" t="s">
        <v>288</v>
      </c>
      <c r="CQ15" s="650" t="s">
        <v>502</v>
      </c>
      <c r="CR15" s="651" t="s">
        <v>288</v>
      </c>
      <c r="CS15" s="650" t="s">
        <v>502</v>
      </c>
      <c r="CT15" s="651" t="s">
        <v>288</v>
      </c>
      <c r="CU15" s="650" t="s">
        <v>502</v>
      </c>
      <c r="CV15" s="651" t="s">
        <v>288</v>
      </c>
      <c r="CW15" s="650" t="s">
        <v>502</v>
      </c>
      <c r="CX15" s="651" t="s">
        <v>288</v>
      </c>
      <c r="CY15" s="650" t="s">
        <v>502</v>
      </c>
      <c r="CZ15" s="651" t="s">
        <v>288</v>
      </c>
      <c r="DA15" s="650" t="s">
        <v>502</v>
      </c>
      <c r="DB15" s="651" t="s">
        <v>288</v>
      </c>
      <c r="DC15" s="650" t="s">
        <v>502</v>
      </c>
      <c r="DD15" s="651" t="s">
        <v>288</v>
      </c>
      <c r="DE15" s="652" t="s">
        <v>291</v>
      </c>
      <c r="DF15" s="653"/>
      <c r="DG15" s="519" t="s">
        <v>283</v>
      </c>
      <c r="DH15" s="645" t="s">
        <v>261</v>
      </c>
      <c r="DI15" s="646" t="s">
        <v>262</v>
      </c>
      <c r="DJ15" s="647" t="s">
        <v>499</v>
      </c>
      <c r="DK15" s="647" t="s">
        <v>285</v>
      </c>
      <c r="DL15" s="648" t="s">
        <v>104</v>
      </c>
      <c r="DM15" s="649" t="s">
        <v>503</v>
      </c>
      <c r="DN15" s="650" t="s">
        <v>502</v>
      </c>
      <c r="DO15" s="651" t="s">
        <v>288</v>
      </c>
      <c r="DP15" s="650" t="s">
        <v>502</v>
      </c>
      <c r="DQ15" s="651" t="s">
        <v>288</v>
      </c>
      <c r="DR15" s="650" t="s">
        <v>502</v>
      </c>
      <c r="DS15" s="651" t="s">
        <v>288</v>
      </c>
      <c r="DT15" s="650" t="s">
        <v>502</v>
      </c>
      <c r="DU15" s="651" t="s">
        <v>288</v>
      </c>
      <c r="DV15" s="650" t="s">
        <v>502</v>
      </c>
      <c r="DW15" s="651" t="s">
        <v>288</v>
      </c>
      <c r="DX15" s="650" t="s">
        <v>502</v>
      </c>
      <c r="DY15" s="651" t="s">
        <v>288</v>
      </c>
      <c r="DZ15" s="650" t="s">
        <v>502</v>
      </c>
      <c r="EA15" s="651" t="s">
        <v>288</v>
      </c>
      <c r="EB15" s="650" t="s">
        <v>502</v>
      </c>
      <c r="EC15" s="651" t="s">
        <v>288</v>
      </c>
      <c r="ED15" s="650" t="s">
        <v>502</v>
      </c>
      <c r="EE15" s="651" t="s">
        <v>288</v>
      </c>
      <c r="EF15" s="650" t="s">
        <v>502</v>
      </c>
      <c r="EG15" s="651" t="s">
        <v>288</v>
      </c>
      <c r="EH15" s="650" t="s">
        <v>502</v>
      </c>
      <c r="EI15" s="651" t="s">
        <v>288</v>
      </c>
      <c r="EJ15" s="650" t="s">
        <v>502</v>
      </c>
      <c r="EK15" s="651" t="s">
        <v>288</v>
      </c>
      <c r="EL15" s="650" t="s">
        <v>502</v>
      </c>
      <c r="EM15" s="651" t="s">
        <v>288</v>
      </c>
      <c r="EN15" s="650" t="s">
        <v>502</v>
      </c>
      <c r="EO15" s="651" t="s">
        <v>288</v>
      </c>
      <c r="EP15" s="650" t="s">
        <v>502</v>
      </c>
      <c r="EQ15" s="651" t="s">
        <v>288</v>
      </c>
      <c r="ER15" s="650" t="s">
        <v>502</v>
      </c>
      <c r="ES15" s="651" t="s">
        <v>288</v>
      </c>
      <c r="ET15" s="650" t="s">
        <v>502</v>
      </c>
      <c r="EU15" s="651" t="s">
        <v>288</v>
      </c>
      <c r="EV15" s="650" t="s">
        <v>502</v>
      </c>
      <c r="EW15" s="651" t="s">
        <v>288</v>
      </c>
      <c r="EX15" s="650" t="s">
        <v>502</v>
      </c>
      <c r="EY15" s="651" t="s">
        <v>288</v>
      </c>
      <c r="EZ15" s="650" t="s">
        <v>662</v>
      </c>
      <c r="FA15" s="651" t="s">
        <v>288</v>
      </c>
      <c r="FB15" s="650" t="s">
        <v>502</v>
      </c>
      <c r="FC15" s="651" t="s">
        <v>288</v>
      </c>
      <c r="FD15" s="650" t="s">
        <v>502</v>
      </c>
      <c r="FE15" s="651" t="s">
        <v>288</v>
      </c>
      <c r="FF15" s="650" t="s">
        <v>502</v>
      </c>
      <c r="FG15" s="651" t="s">
        <v>288</v>
      </c>
      <c r="FH15" s="652" t="s">
        <v>291</v>
      </c>
      <c r="FI15" s="654"/>
      <c r="FJ15" s="529" t="s">
        <v>283</v>
      </c>
      <c r="FK15" s="645" t="s">
        <v>261</v>
      </c>
      <c r="FL15" s="646" t="s">
        <v>262</v>
      </c>
      <c r="FM15" s="647" t="s">
        <v>499</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73</v>
      </c>
      <c r="D16" s="542">
        <v>7.53</v>
      </c>
      <c r="E16" s="663" t="s">
        <v>325</v>
      </c>
      <c r="F16" s="664"/>
      <c r="G16" s="665">
        <v>0</v>
      </c>
      <c r="H16" s="546">
        <f>ROUND(7.53*2.1*0,0)</f>
        <v>0</v>
      </c>
      <c r="I16" s="666">
        <v>0</v>
      </c>
      <c r="J16" s="546">
        <f>ROUND(7.53*2.1*0,0)</f>
        <v>0</v>
      </c>
      <c r="K16" s="666">
        <v>0</v>
      </c>
      <c r="L16" s="546">
        <f>ROUND(7.53*2.1*0,0)</f>
        <v>0</v>
      </c>
      <c r="M16" s="666">
        <v>0</v>
      </c>
      <c r="N16" s="546">
        <f>ROUND(7.53*2.1*0,0)</f>
        <v>0</v>
      </c>
      <c r="O16" s="666">
        <v>0</v>
      </c>
      <c r="P16" s="546">
        <f>ROUND(7.53*2.1*0,0)</f>
        <v>0</v>
      </c>
      <c r="Q16" s="666">
        <v>0</v>
      </c>
      <c r="R16" s="546">
        <f>ROUND(7.53*2.1*0,0)</f>
        <v>0</v>
      </c>
      <c r="S16" s="666">
        <v>0</v>
      </c>
      <c r="T16" s="546">
        <f>ROUND(7.53*2.1*0,0)</f>
        <v>0</v>
      </c>
      <c r="U16" s="666">
        <v>0</v>
      </c>
      <c r="V16" s="546">
        <f>ROUND(7.53*2.1*0,0)</f>
        <v>0</v>
      </c>
      <c r="W16" s="666">
        <v>3.3</v>
      </c>
      <c r="X16" s="546">
        <f>ROUND(7.53*2.1*3.3,0)</f>
        <v>52</v>
      </c>
      <c r="Y16" s="666">
        <v>4.5</v>
      </c>
      <c r="Z16" s="546">
        <f>ROUND(7.53*2.1*4.5,0)</f>
        <v>71</v>
      </c>
      <c r="AA16" s="666">
        <v>5.2</v>
      </c>
      <c r="AB16" s="546">
        <f>ROUND(7.53*2.1*5.2,0)</f>
        <v>82</v>
      </c>
      <c r="AC16" s="666">
        <v>5.7</v>
      </c>
      <c r="AD16" s="546">
        <f>ROUND(7.53*2.1*5.7,0)</f>
        <v>90</v>
      </c>
      <c r="AE16" s="666">
        <v>5.9</v>
      </c>
      <c r="AF16" s="546">
        <f>ROUND(7.53*2.1*5.9,0)</f>
        <v>93</v>
      </c>
      <c r="AG16" s="666">
        <v>5.9</v>
      </c>
      <c r="AH16" s="546">
        <f>ROUND(7.53*2.1*5.9,0)</f>
        <v>93</v>
      </c>
      <c r="AI16" s="666">
        <v>5.4</v>
      </c>
      <c r="AJ16" s="546">
        <f>ROUND(7.53*2.1*5.4,0)</f>
        <v>85</v>
      </c>
      <c r="AK16" s="666">
        <v>4.9000000000000004</v>
      </c>
      <c r="AL16" s="546">
        <f>ROUND(7.53*2.1*4.9,0)</f>
        <v>77</v>
      </c>
      <c r="AM16" s="666">
        <v>4</v>
      </c>
      <c r="AN16" s="546">
        <f>ROUND(7.53*2.1*4,0)</f>
        <v>63</v>
      </c>
      <c r="AO16" s="666">
        <v>3.3</v>
      </c>
      <c r="AP16" s="546">
        <f>ROUND(7.53*2.1*3.3,0)</f>
        <v>52</v>
      </c>
      <c r="AQ16" s="666">
        <v>0</v>
      </c>
      <c r="AR16" s="546">
        <f>ROUND(7.53*2.1*0,0)</f>
        <v>0</v>
      </c>
      <c r="AS16" s="666">
        <v>0</v>
      </c>
      <c r="AT16" s="546">
        <f>ROUND(7.53*2.1*0,0)</f>
        <v>0</v>
      </c>
      <c r="AU16" s="666">
        <v>0</v>
      </c>
      <c r="AV16" s="546">
        <f>ROUND(7.53*2.1*0,0)</f>
        <v>0</v>
      </c>
      <c r="AW16" s="666">
        <v>0</v>
      </c>
      <c r="AX16" s="546">
        <f>ROUND(7.53*2.1*0,0)</f>
        <v>0</v>
      </c>
      <c r="AY16" s="666">
        <v>0</v>
      </c>
      <c r="AZ16" s="546">
        <f>ROUND(7.53*2.1*0,0)</f>
        <v>0</v>
      </c>
      <c r="BA16" s="666">
        <v>0</v>
      </c>
      <c r="BB16" s="667">
        <f>ROUND(7.53*2.1*0,0)</f>
        <v>0</v>
      </c>
      <c r="BC16" s="549"/>
      <c r="BD16" s="539"/>
      <c r="BE16" s="541" t="s">
        <v>229</v>
      </c>
      <c r="BF16" s="662" t="s">
        <v>73</v>
      </c>
      <c r="BG16" s="542">
        <v>7.53</v>
      </c>
      <c r="BH16" s="663" t="s">
        <v>325</v>
      </c>
      <c r="BI16" s="664"/>
      <c r="BJ16" s="665">
        <v>0</v>
      </c>
      <c r="BK16" s="546">
        <f>ROUND(7.53*2.1*0,0)</f>
        <v>0</v>
      </c>
      <c r="BL16" s="666">
        <v>0</v>
      </c>
      <c r="BM16" s="546">
        <f>ROUND(7.53*2.1*0,0)</f>
        <v>0</v>
      </c>
      <c r="BN16" s="666">
        <v>0</v>
      </c>
      <c r="BO16" s="546">
        <f>ROUND(7.53*2.1*0,0)</f>
        <v>0</v>
      </c>
      <c r="BP16" s="666">
        <v>0</v>
      </c>
      <c r="BQ16" s="546">
        <f>ROUND(7.53*2.1*0,0)</f>
        <v>0</v>
      </c>
      <c r="BR16" s="666">
        <v>0</v>
      </c>
      <c r="BS16" s="546">
        <f>ROUND(7.53*2.1*0,0)</f>
        <v>0</v>
      </c>
      <c r="BT16" s="666">
        <v>0</v>
      </c>
      <c r="BU16" s="546">
        <f>ROUND(7.53*2.1*0,0)</f>
        <v>0</v>
      </c>
      <c r="BV16" s="666">
        <v>0</v>
      </c>
      <c r="BW16" s="546">
        <f>ROUND(7.53*2.1*0,0)</f>
        <v>0</v>
      </c>
      <c r="BX16" s="666">
        <v>0</v>
      </c>
      <c r="BY16" s="546">
        <f>ROUND(7.53*2.1*0,0)</f>
        <v>0</v>
      </c>
      <c r="BZ16" s="666">
        <v>3.1</v>
      </c>
      <c r="CA16" s="546">
        <f>ROUND(7.53*2.1*3.1,0)</f>
        <v>49</v>
      </c>
      <c r="CB16" s="666">
        <v>4.0999999999999996</v>
      </c>
      <c r="CC16" s="546">
        <f>ROUND(7.53*2.1*4.1,0)</f>
        <v>65</v>
      </c>
      <c r="CD16" s="666">
        <v>5</v>
      </c>
      <c r="CE16" s="546">
        <f>ROUND(7.53*2.1*5,0)</f>
        <v>79</v>
      </c>
      <c r="CF16" s="666">
        <v>5.4</v>
      </c>
      <c r="CG16" s="546">
        <f>ROUND(7.53*2.1*5.4,0)</f>
        <v>85</v>
      </c>
      <c r="CH16" s="666">
        <v>5.6</v>
      </c>
      <c r="CI16" s="546">
        <f>ROUND(7.53*2.1*5.6,0)</f>
        <v>89</v>
      </c>
      <c r="CJ16" s="666">
        <v>5.4</v>
      </c>
      <c r="CK16" s="546">
        <f>ROUND(7.53*2.1*5.4,0)</f>
        <v>85</v>
      </c>
      <c r="CL16" s="666">
        <v>4.9000000000000004</v>
      </c>
      <c r="CM16" s="546">
        <f>ROUND(7.53*2.1*4.9,0)</f>
        <v>77</v>
      </c>
      <c r="CN16" s="666">
        <v>4.5</v>
      </c>
      <c r="CO16" s="546">
        <f>ROUND(7.53*2.1*4.5,0)</f>
        <v>71</v>
      </c>
      <c r="CP16" s="666">
        <v>4</v>
      </c>
      <c r="CQ16" s="546">
        <f>ROUND(7.53*2.1*4,0)</f>
        <v>63</v>
      </c>
      <c r="CR16" s="666">
        <v>3.1</v>
      </c>
      <c r="CS16" s="546">
        <f>ROUND(7.53*2.1*3.1,0)</f>
        <v>49</v>
      </c>
      <c r="CT16" s="666">
        <v>0</v>
      </c>
      <c r="CU16" s="546">
        <f>ROUND(7.53*2.1*0,0)</f>
        <v>0</v>
      </c>
      <c r="CV16" s="666">
        <v>0</v>
      </c>
      <c r="CW16" s="546">
        <f>ROUND(7.53*2.1*0,0)</f>
        <v>0</v>
      </c>
      <c r="CX16" s="666">
        <v>0</v>
      </c>
      <c r="CY16" s="546">
        <f>ROUND(7.53*2.1*0,0)</f>
        <v>0</v>
      </c>
      <c r="CZ16" s="666">
        <v>0</v>
      </c>
      <c r="DA16" s="546">
        <f>ROUND(7.53*2.1*0,0)</f>
        <v>0</v>
      </c>
      <c r="DB16" s="666">
        <v>0</v>
      </c>
      <c r="DC16" s="546">
        <f>ROUND(7.53*2.1*0,0)</f>
        <v>0</v>
      </c>
      <c r="DD16" s="666">
        <v>0</v>
      </c>
      <c r="DE16" s="667">
        <f>ROUND(7.53*2.1*0,0)</f>
        <v>0</v>
      </c>
      <c r="DF16" s="549"/>
      <c r="DG16" s="539"/>
      <c r="DH16" s="541" t="s">
        <v>229</v>
      </c>
      <c r="DI16" s="662" t="s">
        <v>73</v>
      </c>
      <c r="DJ16" s="542">
        <v>7.53</v>
      </c>
      <c r="DK16" s="663" t="s">
        <v>325</v>
      </c>
      <c r="DL16" s="664"/>
      <c r="DM16" s="665">
        <v>0</v>
      </c>
      <c r="DN16" s="546">
        <f>ROUND(7.53*2.1*0,0)</f>
        <v>0</v>
      </c>
      <c r="DO16" s="666">
        <v>0</v>
      </c>
      <c r="DP16" s="546">
        <f>ROUND(7.53*2.1*0,0)</f>
        <v>0</v>
      </c>
      <c r="DQ16" s="666">
        <v>0</v>
      </c>
      <c r="DR16" s="546">
        <f>ROUND(7.53*2.1*0,0)</f>
        <v>0</v>
      </c>
      <c r="DS16" s="666">
        <v>0</v>
      </c>
      <c r="DT16" s="546">
        <f>ROUND(7.53*2.1*0,0)</f>
        <v>0</v>
      </c>
      <c r="DU16" s="666">
        <v>0</v>
      </c>
      <c r="DV16" s="546">
        <f>ROUND(7.53*2.1*0,0)</f>
        <v>0</v>
      </c>
      <c r="DW16" s="666">
        <v>0</v>
      </c>
      <c r="DX16" s="546">
        <f>ROUND(7.53*2.1*0,0)</f>
        <v>0</v>
      </c>
      <c r="DY16" s="666">
        <v>0</v>
      </c>
      <c r="DZ16" s="546">
        <f>ROUND(7.53*2.1*0,0)</f>
        <v>0</v>
      </c>
      <c r="EA16" s="666">
        <v>0</v>
      </c>
      <c r="EB16" s="546">
        <f>ROUND(7.53*2.1*0,0)</f>
        <v>0</v>
      </c>
      <c r="EC16" s="666">
        <v>0.80000000000000104</v>
      </c>
      <c r="ED16" s="546">
        <f>ROUND(7.53*2.1*0.800000000000001,0)</f>
        <v>13</v>
      </c>
      <c r="EE16" s="666">
        <v>2.1</v>
      </c>
      <c r="EF16" s="546">
        <f>ROUND(7.53*2.1*2.1,0)</f>
        <v>33</v>
      </c>
      <c r="EG16" s="666">
        <v>2.9</v>
      </c>
      <c r="EH16" s="546">
        <f>ROUND(7.53*2.1*2.9,0)</f>
        <v>46</v>
      </c>
      <c r="EI16" s="666">
        <v>3.6</v>
      </c>
      <c r="EJ16" s="546">
        <f>ROUND(7.53*2.1*3.6,0)</f>
        <v>57</v>
      </c>
      <c r="EK16" s="666">
        <v>3.8</v>
      </c>
      <c r="EL16" s="546">
        <f>ROUND(7.53*2.1*3.8,0)</f>
        <v>60</v>
      </c>
      <c r="EM16" s="666">
        <v>3.5</v>
      </c>
      <c r="EN16" s="546">
        <f>ROUND(7.53*2.1*3.5,0)</f>
        <v>55</v>
      </c>
      <c r="EO16" s="666">
        <v>3.1</v>
      </c>
      <c r="EP16" s="546">
        <f>ROUND(7.53*2.1*3.1,0)</f>
        <v>49</v>
      </c>
      <c r="EQ16" s="666">
        <v>2.7</v>
      </c>
      <c r="ER16" s="546">
        <f>ROUND(7.53*2.1*2.7,0)</f>
        <v>43</v>
      </c>
      <c r="ES16" s="666">
        <v>1.7</v>
      </c>
      <c r="ET16" s="546">
        <f>ROUND(7.53*2.1*1.7,0)</f>
        <v>27</v>
      </c>
      <c r="EU16" s="666">
        <v>0.69999999999999896</v>
      </c>
      <c r="EV16" s="546">
        <f>ROUND(7.53*2.1*0.699999999999999,0)</f>
        <v>11</v>
      </c>
      <c r="EW16" s="666">
        <v>0</v>
      </c>
      <c r="EX16" s="546">
        <f>ROUND(7.53*2.1*0,0)</f>
        <v>0</v>
      </c>
      <c r="EY16" s="666">
        <v>0</v>
      </c>
      <c r="EZ16" s="546">
        <f>ROUND(7.53*2.1*0,0)</f>
        <v>0</v>
      </c>
      <c r="FA16" s="666">
        <v>0</v>
      </c>
      <c r="FB16" s="546">
        <f>ROUND(7.53*2.1*0,0)</f>
        <v>0</v>
      </c>
      <c r="FC16" s="666">
        <v>0</v>
      </c>
      <c r="FD16" s="546">
        <f>ROUND(7.53*2.1*0,0)</f>
        <v>0</v>
      </c>
      <c r="FE16" s="666">
        <v>0</v>
      </c>
      <c r="FF16" s="546">
        <f>ROUND(7.53*2.1*0,0)</f>
        <v>0</v>
      </c>
      <c r="FG16" s="666">
        <v>0</v>
      </c>
      <c r="FH16" s="667">
        <f>ROUND(7.53*2.1*0,0)</f>
        <v>0</v>
      </c>
      <c r="FI16" s="550"/>
      <c r="FJ16" s="551"/>
      <c r="FK16" s="541" t="s">
        <v>229</v>
      </c>
      <c r="FL16" s="662" t="s">
        <v>73</v>
      </c>
      <c r="FM16" s="542">
        <v>7.53</v>
      </c>
      <c r="FN16" s="663" t="s">
        <v>325</v>
      </c>
      <c r="FO16" s="664"/>
      <c r="FP16" s="668">
        <v>9</v>
      </c>
      <c r="FQ16" s="669">
        <v>17</v>
      </c>
      <c r="FR16" s="546">
        <f>ROUND(7.53*2.1*17,0)</f>
        <v>269</v>
      </c>
      <c r="FS16" s="670">
        <v>9</v>
      </c>
      <c r="FT16" s="669">
        <v>17.5</v>
      </c>
      <c r="FU16" s="554">
        <f>ROUND(7.53*2.1*17.5,0)</f>
        <v>277</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73</v>
      </c>
      <c r="D17" s="570">
        <v>10.1</v>
      </c>
      <c r="E17" s="675">
        <v>0.9</v>
      </c>
      <c r="F17" s="676"/>
      <c r="G17" s="677">
        <v>0</v>
      </c>
      <c r="H17" s="574">
        <f>ROUND(10.1*0.9*0,0)</f>
        <v>0</v>
      </c>
      <c r="I17" s="678">
        <v>0</v>
      </c>
      <c r="J17" s="574">
        <f>ROUND(10.1*0.9*0,0)</f>
        <v>0</v>
      </c>
      <c r="K17" s="678">
        <v>0</v>
      </c>
      <c r="L17" s="574">
        <f>ROUND(10.1*0.9*0,0)</f>
        <v>0</v>
      </c>
      <c r="M17" s="678">
        <v>0</v>
      </c>
      <c r="N17" s="574">
        <f>ROUND(10.1*0.9*0,0)</f>
        <v>0</v>
      </c>
      <c r="O17" s="678">
        <v>0</v>
      </c>
      <c r="P17" s="574">
        <f>ROUND(10.1*0.9*0,0)</f>
        <v>0</v>
      </c>
      <c r="Q17" s="678">
        <v>0</v>
      </c>
      <c r="R17" s="574">
        <f>ROUND(10.1*0.9*0,0)</f>
        <v>0</v>
      </c>
      <c r="S17" s="678">
        <v>0</v>
      </c>
      <c r="T17" s="574">
        <f>ROUND(10.1*0.9*0,0)</f>
        <v>0</v>
      </c>
      <c r="U17" s="678">
        <v>0</v>
      </c>
      <c r="V17" s="574">
        <f>ROUND(10.1*0.9*0,0)</f>
        <v>0</v>
      </c>
      <c r="W17" s="678">
        <v>1.5</v>
      </c>
      <c r="X17" s="574">
        <f>ROUND(10.1*0.9*1.5,0)</f>
        <v>14</v>
      </c>
      <c r="Y17" s="678">
        <v>2.1</v>
      </c>
      <c r="Z17" s="574">
        <f>ROUND(10.1*0.9*2.1,0)</f>
        <v>19</v>
      </c>
      <c r="AA17" s="678">
        <v>2.9</v>
      </c>
      <c r="AB17" s="574">
        <f>ROUND(10.1*0.9*2.9,0)</f>
        <v>26</v>
      </c>
      <c r="AC17" s="678">
        <v>3.8</v>
      </c>
      <c r="AD17" s="574">
        <f>ROUND(10.1*0.9*3.8,0)</f>
        <v>35</v>
      </c>
      <c r="AE17" s="678">
        <v>4.7</v>
      </c>
      <c r="AF17" s="574">
        <f>ROUND(10.1*0.9*4.7,0)</f>
        <v>43</v>
      </c>
      <c r="AG17" s="678">
        <v>5.5</v>
      </c>
      <c r="AH17" s="574">
        <f>ROUND(10.1*0.9*5.5,0)</f>
        <v>50</v>
      </c>
      <c r="AI17" s="678">
        <v>6.2</v>
      </c>
      <c r="AJ17" s="574">
        <f>ROUND(10.1*0.9*6.2,0)</f>
        <v>56</v>
      </c>
      <c r="AK17" s="678">
        <v>6.8</v>
      </c>
      <c r="AL17" s="574">
        <f>ROUND(10.1*0.9*6.8,0)</f>
        <v>62</v>
      </c>
      <c r="AM17" s="678">
        <v>7.1</v>
      </c>
      <c r="AN17" s="574">
        <f>ROUND(10.1*0.9*7.1,0)</f>
        <v>65</v>
      </c>
      <c r="AO17" s="678">
        <v>7.2</v>
      </c>
      <c r="AP17" s="574">
        <f>ROUND(10.1*0.9*7.2,0)</f>
        <v>65</v>
      </c>
      <c r="AQ17" s="678">
        <v>0</v>
      </c>
      <c r="AR17" s="574">
        <f>ROUND(10.1*0.9*0,0)</f>
        <v>0</v>
      </c>
      <c r="AS17" s="678">
        <v>0</v>
      </c>
      <c r="AT17" s="574">
        <f>ROUND(10.1*0.9*0,0)</f>
        <v>0</v>
      </c>
      <c r="AU17" s="678">
        <v>0</v>
      </c>
      <c r="AV17" s="574">
        <f>ROUND(10.1*0.9*0,0)</f>
        <v>0</v>
      </c>
      <c r="AW17" s="678">
        <v>0</v>
      </c>
      <c r="AX17" s="574">
        <f>ROUND(10.1*0.9*0,0)</f>
        <v>0</v>
      </c>
      <c r="AY17" s="678">
        <v>0</v>
      </c>
      <c r="AZ17" s="574">
        <f>ROUND(10.1*0.9*0,0)</f>
        <v>0</v>
      </c>
      <c r="BA17" s="678">
        <v>0</v>
      </c>
      <c r="BB17" s="576">
        <f>ROUND(10.1*0.9*0,0)</f>
        <v>0</v>
      </c>
      <c r="BC17" s="549"/>
      <c r="BD17" s="539"/>
      <c r="BE17" s="569" t="s">
        <v>213</v>
      </c>
      <c r="BF17" s="674" t="s">
        <v>73</v>
      </c>
      <c r="BG17" s="570">
        <v>10.1</v>
      </c>
      <c r="BH17" s="675">
        <v>0.9</v>
      </c>
      <c r="BI17" s="676"/>
      <c r="BJ17" s="677">
        <v>0</v>
      </c>
      <c r="BK17" s="574">
        <f>ROUND(10.1*0.9*0,0)</f>
        <v>0</v>
      </c>
      <c r="BL17" s="678">
        <v>0</v>
      </c>
      <c r="BM17" s="574">
        <f>ROUND(10.1*0.9*0,0)</f>
        <v>0</v>
      </c>
      <c r="BN17" s="678">
        <v>0</v>
      </c>
      <c r="BO17" s="574">
        <f>ROUND(10.1*0.9*0,0)</f>
        <v>0</v>
      </c>
      <c r="BP17" s="678">
        <v>0</v>
      </c>
      <c r="BQ17" s="574">
        <f>ROUND(10.1*0.9*0,0)</f>
        <v>0</v>
      </c>
      <c r="BR17" s="678">
        <v>0</v>
      </c>
      <c r="BS17" s="574">
        <f>ROUND(10.1*0.9*0,0)</f>
        <v>0</v>
      </c>
      <c r="BT17" s="678">
        <v>0</v>
      </c>
      <c r="BU17" s="574">
        <f>ROUND(10.1*0.9*0,0)</f>
        <v>0</v>
      </c>
      <c r="BV17" s="678">
        <v>0</v>
      </c>
      <c r="BW17" s="574">
        <f>ROUND(10.1*0.9*0,0)</f>
        <v>0</v>
      </c>
      <c r="BX17" s="678">
        <v>0</v>
      </c>
      <c r="BY17" s="574">
        <f>ROUND(10.1*0.9*0,0)</f>
        <v>0</v>
      </c>
      <c r="BZ17" s="678">
        <v>1.1000000000000001</v>
      </c>
      <c r="CA17" s="574">
        <f>ROUND(10.1*0.9*1.1,0)</f>
        <v>10</v>
      </c>
      <c r="CB17" s="678">
        <v>1.6</v>
      </c>
      <c r="CC17" s="574">
        <f>ROUND(10.1*0.9*1.6,0)</f>
        <v>15</v>
      </c>
      <c r="CD17" s="678">
        <v>2.2999999999999998</v>
      </c>
      <c r="CE17" s="574">
        <f>ROUND(10.1*0.9*2.3,0)</f>
        <v>21</v>
      </c>
      <c r="CF17" s="678">
        <v>3.1</v>
      </c>
      <c r="CG17" s="574">
        <f>ROUND(10.1*0.9*3.1,0)</f>
        <v>28</v>
      </c>
      <c r="CH17" s="678">
        <v>3.8</v>
      </c>
      <c r="CI17" s="574">
        <f>ROUND(10.1*0.9*3.8,0)</f>
        <v>35</v>
      </c>
      <c r="CJ17" s="678">
        <v>4.5</v>
      </c>
      <c r="CK17" s="574">
        <f>ROUND(10.1*0.9*4.5,0)</f>
        <v>41</v>
      </c>
      <c r="CL17" s="678">
        <v>5.0999999999999996</v>
      </c>
      <c r="CM17" s="574">
        <f>ROUND(10.1*0.9*5.1,0)</f>
        <v>46</v>
      </c>
      <c r="CN17" s="678">
        <v>5.6</v>
      </c>
      <c r="CO17" s="574">
        <f>ROUND(10.1*0.9*5.6,0)</f>
        <v>51</v>
      </c>
      <c r="CP17" s="678">
        <v>6</v>
      </c>
      <c r="CQ17" s="574">
        <f>ROUND(10.1*0.9*6,0)</f>
        <v>55</v>
      </c>
      <c r="CR17" s="678">
        <v>6.4</v>
      </c>
      <c r="CS17" s="574">
        <f>ROUND(10.1*0.9*6.4,0)</f>
        <v>58</v>
      </c>
      <c r="CT17" s="678">
        <v>0</v>
      </c>
      <c r="CU17" s="574">
        <f>ROUND(10.1*0.9*0,0)</f>
        <v>0</v>
      </c>
      <c r="CV17" s="678">
        <v>0</v>
      </c>
      <c r="CW17" s="574">
        <f>ROUND(10.1*0.9*0,0)</f>
        <v>0</v>
      </c>
      <c r="CX17" s="678">
        <v>0</v>
      </c>
      <c r="CY17" s="574">
        <f>ROUND(10.1*0.9*0,0)</f>
        <v>0</v>
      </c>
      <c r="CZ17" s="678">
        <v>0</v>
      </c>
      <c r="DA17" s="574">
        <f>ROUND(10.1*0.9*0,0)</f>
        <v>0</v>
      </c>
      <c r="DB17" s="678">
        <v>0</v>
      </c>
      <c r="DC17" s="574">
        <f>ROUND(10.1*0.9*0,0)</f>
        <v>0</v>
      </c>
      <c r="DD17" s="678">
        <v>0</v>
      </c>
      <c r="DE17" s="576">
        <f>ROUND(10.1*0.9*0,0)</f>
        <v>0</v>
      </c>
      <c r="DF17" s="549"/>
      <c r="DG17" s="539"/>
      <c r="DH17" s="569" t="s">
        <v>213</v>
      </c>
      <c r="DI17" s="674" t="s">
        <v>73</v>
      </c>
      <c r="DJ17" s="570">
        <v>10.1</v>
      </c>
      <c r="DK17" s="675">
        <v>0.9</v>
      </c>
      <c r="DL17" s="676"/>
      <c r="DM17" s="677">
        <v>0</v>
      </c>
      <c r="DN17" s="574">
        <f>ROUND(10.1*0.9*0,0)</f>
        <v>0</v>
      </c>
      <c r="DO17" s="678">
        <v>0</v>
      </c>
      <c r="DP17" s="574">
        <f>ROUND(10.1*0.9*0,0)</f>
        <v>0</v>
      </c>
      <c r="DQ17" s="678">
        <v>0</v>
      </c>
      <c r="DR17" s="574">
        <f>ROUND(10.1*0.9*0,0)</f>
        <v>0</v>
      </c>
      <c r="DS17" s="678">
        <v>0</v>
      </c>
      <c r="DT17" s="574">
        <f>ROUND(10.1*0.9*0,0)</f>
        <v>0</v>
      </c>
      <c r="DU17" s="678">
        <v>0</v>
      </c>
      <c r="DV17" s="574">
        <f>ROUND(10.1*0.9*0,0)</f>
        <v>0</v>
      </c>
      <c r="DW17" s="678">
        <v>0</v>
      </c>
      <c r="DX17" s="574">
        <f>ROUND(10.1*0.9*0,0)</f>
        <v>0</v>
      </c>
      <c r="DY17" s="678">
        <v>0</v>
      </c>
      <c r="DZ17" s="574">
        <f>ROUND(10.1*0.9*0,0)</f>
        <v>0</v>
      </c>
      <c r="EA17" s="678">
        <v>0</v>
      </c>
      <c r="EB17" s="574">
        <f>ROUND(10.1*0.9*0,0)</f>
        <v>0</v>
      </c>
      <c r="EC17" s="678">
        <v>0</v>
      </c>
      <c r="ED17" s="574">
        <f>ROUND(10.1*0.9*0,0)</f>
        <v>0</v>
      </c>
      <c r="EE17" s="678">
        <v>0</v>
      </c>
      <c r="EF17" s="574">
        <f>ROUND(10.1*0.9*0,0)</f>
        <v>0</v>
      </c>
      <c r="EG17" s="678">
        <v>0</v>
      </c>
      <c r="EH17" s="574">
        <f>ROUND(10.1*0.9*0,0)</f>
        <v>0</v>
      </c>
      <c r="EI17" s="678">
        <v>0.4</v>
      </c>
      <c r="EJ17" s="574">
        <f>ROUND(10.1*0.9*0.4,0)</f>
        <v>4</v>
      </c>
      <c r="EK17" s="678">
        <v>1.3</v>
      </c>
      <c r="EL17" s="574">
        <f>ROUND(10.1*0.9*1.3,0)</f>
        <v>12</v>
      </c>
      <c r="EM17" s="678">
        <v>2.1</v>
      </c>
      <c r="EN17" s="574">
        <f>ROUND(10.1*0.9*2.1,0)</f>
        <v>19</v>
      </c>
      <c r="EO17" s="678">
        <v>2.8</v>
      </c>
      <c r="EP17" s="574">
        <f>ROUND(10.1*0.9*2.8,0)</f>
        <v>25</v>
      </c>
      <c r="EQ17" s="678">
        <v>3.3</v>
      </c>
      <c r="ER17" s="574">
        <f>ROUND(10.1*0.9*3.3,0)</f>
        <v>30</v>
      </c>
      <c r="ES17" s="678">
        <v>3.6</v>
      </c>
      <c r="ET17" s="574">
        <f>ROUND(10.1*0.9*3.6,0)</f>
        <v>33</v>
      </c>
      <c r="EU17" s="678">
        <v>3.7</v>
      </c>
      <c r="EV17" s="574">
        <f>ROUND(10.1*0.9*3.7,0)</f>
        <v>34</v>
      </c>
      <c r="EW17" s="678">
        <v>0</v>
      </c>
      <c r="EX17" s="574">
        <f>ROUND(10.1*0.9*0,0)</f>
        <v>0</v>
      </c>
      <c r="EY17" s="678">
        <v>0</v>
      </c>
      <c r="EZ17" s="574">
        <f>ROUND(10.1*0.9*0,0)</f>
        <v>0</v>
      </c>
      <c r="FA17" s="678">
        <v>0</v>
      </c>
      <c r="FB17" s="574">
        <f>ROUND(10.1*0.9*0,0)</f>
        <v>0</v>
      </c>
      <c r="FC17" s="678">
        <v>0</v>
      </c>
      <c r="FD17" s="574">
        <f>ROUND(10.1*0.9*0,0)</f>
        <v>0</v>
      </c>
      <c r="FE17" s="678">
        <v>0</v>
      </c>
      <c r="FF17" s="574">
        <f>ROUND(10.1*0.9*0,0)</f>
        <v>0</v>
      </c>
      <c r="FG17" s="678">
        <v>0</v>
      </c>
      <c r="FH17" s="576">
        <f>ROUND(10.1*0.9*0,0)</f>
        <v>0</v>
      </c>
      <c r="FI17" s="550"/>
      <c r="FJ17" s="551"/>
      <c r="FK17" s="569" t="s">
        <v>213</v>
      </c>
      <c r="FL17" s="674" t="s">
        <v>73</v>
      </c>
      <c r="FM17" s="570">
        <v>10.1</v>
      </c>
      <c r="FN17" s="675">
        <v>0.9</v>
      </c>
      <c r="FO17" s="676"/>
      <c r="FP17" s="679">
        <v>9</v>
      </c>
      <c r="FQ17" s="680">
        <v>17</v>
      </c>
      <c r="FR17" s="574">
        <f>ROUND(10.1*0.9*17,0)</f>
        <v>155</v>
      </c>
      <c r="FS17" s="681">
        <v>9</v>
      </c>
      <c r="FT17" s="680">
        <v>17.5</v>
      </c>
      <c r="FU17" s="579">
        <f>ROUND(10.1*0.9*17.5,0)</f>
        <v>159</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t="s">
        <v>236</v>
      </c>
      <c r="C18" s="674"/>
      <c r="D18" s="570">
        <v>12.69</v>
      </c>
      <c r="E18" s="675">
        <v>2.9</v>
      </c>
      <c r="F18" s="676"/>
      <c r="G18" s="677">
        <v>0</v>
      </c>
      <c r="H18" s="574">
        <f>ROUND(12.69*2.9*0,0)</f>
        <v>0</v>
      </c>
      <c r="I18" s="678">
        <v>0</v>
      </c>
      <c r="J18" s="574">
        <f>ROUND(12.69*2.9*0,0)</f>
        <v>0</v>
      </c>
      <c r="K18" s="678">
        <v>0</v>
      </c>
      <c r="L18" s="574">
        <f>ROUND(12.69*2.9*0,0)</f>
        <v>0</v>
      </c>
      <c r="M18" s="678">
        <v>0</v>
      </c>
      <c r="N18" s="574">
        <f>ROUND(12.69*2.9*0,0)</f>
        <v>0</v>
      </c>
      <c r="O18" s="678">
        <v>0</v>
      </c>
      <c r="P18" s="574">
        <f>ROUND(12.69*2.9*0,0)</f>
        <v>0</v>
      </c>
      <c r="Q18" s="678">
        <v>0</v>
      </c>
      <c r="R18" s="574">
        <f>ROUND(12.69*2.9*0,0)</f>
        <v>0</v>
      </c>
      <c r="S18" s="678">
        <v>0</v>
      </c>
      <c r="T18" s="574">
        <f>ROUND(12.69*2.9*0,0)</f>
        <v>0</v>
      </c>
      <c r="U18" s="678">
        <v>0</v>
      </c>
      <c r="V18" s="574">
        <f>ROUND(12.69*2.9*0,0)</f>
        <v>0</v>
      </c>
      <c r="W18" s="678">
        <v>1</v>
      </c>
      <c r="X18" s="574">
        <f>ROUND(12.69*2.9*1,0)</f>
        <v>37</v>
      </c>
      <c r="Y18" s="678">
        <v>1.3</v>
      </c>
      <c r="Z18" s="574">
        <f>ROUND(12.69*2.9*1.3,0)</f>
        <v>48</v>
      </c>
      <c r="AA18" s="678">
        <v>1.6</v>
      </c>
      <c r="AB18" s="574">
        <f>ROUND(12.69*2.9*1.6,0)</f>
        <v>59</v>
      </c>
      <c r="AC18" s="678">
        <v>1.7</v>
      </c>
      <c r="AD18" s="574">
        <f>ROUND(12.69*2.9*1.7,0)</f>
        <v>63</v>
      </c>
      <c r="AE18" s="678">
        <v>1.8</v>
      </c>
      <c r="AF18" s="574">
        <f>ROUND(12.69*2.9*1.8,0)</f>
        <v>66</v>
      </c>
      <c r="AG18" s="678">
        <v>1.8</v>
      </c>
      <c r="AH18" s="574">
        <f>ROUND(12.69*2.9*1.8,0)</f>
        <v>66</v>
      </c>
      <c r="AI18" s="678">
        <v>1.6</v>
      </c>
      <c r="AJ18" s="574">
        <f>ROUND(12.69*2.9*1.6,0)</f>
        <v>59</v>
      </c>
      <c r="AK18" s="678">
        <v>1.5</v>
      </c>
      <c r="AL18" s="574">
        <f>ROUND(12.69*2.9*1.5,0)</f>
        <v>55</v>
      </c>
      <c r="AM18" s="678">
        <v>1.2</v>
      </c>
      <c r="AN18" s="574">
        <f>ROUND(12.69*2.9*1.2,0)</f>
        <v>44</v>
      </c>
      <c r="AO18" s="678">
        <v>1</v>
      </c>
      <c r="AP18" s="574">
        <f>ROUND(12.69*2.9*1,0)</f>
        <v>37</v>
      </c>
      <c r="AQ18" s="678">
        <v>0</v>
      </c>
      <c r="AR18" s="574">
        <f>ROUND(12.69*2.9*0,0)</f>
        <v>0</v>
      </c>
      <c r="AS18" s="678">
        <v>0</v>
      </c>
      <c r="AT18" s="574">
        <f>ROUND(12.69*2.9*0,0)</f>
        <v>0</v>
      </c>
      <c r="AU18" s="678">
        <v>0</v>
      </c>
      <c r="AV18" s="574">
        <f>ROUND(12.69*2.9*0,0)</f>
        <v>0</v>
      </c>
      <c r="AW18" s="678">
        <v>0</v>
      </c>
      <c r="AX18" s="574">
        <f>ROUND(12.69*2.9*0,0)</f>
        <v>0</v>
      </c>
      <c r="AY18" s="678">
        <v>0</v>
      </c>
      <c r="AZ18" s="574">
        <f>ROUND(12.69*2.9*0,0)</f>
        <v>0</v>
      </c>
      <c r="BA18" s="678">
        <v>0</v>
      </c>
      <c r="BB18" s="576">
        <f>ROUND(12.69*2.9*0,0)</f>
        <v>0</v>
      </c>
      <c r="BC18" s="549"/>
      <c r="BD18" s="539"/>
      <c r="BE18" s="683" t="s">
        <v>236</v>
      </c>
      <c r="BF18" s="674"/>
      <c r="BG18" s="570">
        <v>12.69</v>
      </c>
      <c r="BH18" s="675">
        <v>2.9</v>
      </c>
      <c r="BI18" s="676"/>
      <c r="BJ18" s="677">
        <v>0</v>
      </c>
      <c r="BK18" s="574">
        <f>ROUND(12.69*2.9*0,0)</f>
        <v>0</v>
      </c>
      <c r="BL18" s="678">
        <v>0</v>
      </c>
      <c r="BM18" s="574">
        <f>ROUND(12.69*2.9*0,0)</f>
        <v>0</v>
      </c>
      <c r="BN18" s="678">
        <v>0</v>
      </c>
      <c r="BO18" s="574">
        <f>ROUND(12.69*2.9*0,0)</f>
        <v>0</v>
      </c>
      <c r="BP18" s="678">
        <v>0</v>
      </c>
      <c r="BQ18" s="574">
        <f>ROUND(12.69*2.9*0,0)</f>
        <v>0</v>
      </c>
      <c r="BR18" s="678">
        <v>0</v>
      </c>
      <c r="BS18" s="574">
        <f>ROUND(12.69*2.9*0,0)</f>
        <v>0</v>
      </c>
      <c r="BT18" s="678">
        <v>0</v>
      </c>
      <c r="BU18" s="574">
        <f>ROUND(12.69*2.9*0,0)</f>
        <v>0</v>
      </c>
      <c r="BV18" s="678">
        <v>0</v>
      </c>
      <c r="BW18" s="574">
        <f>ROUND(12.69*2.9*0,0)</f>
        <v>0</v>
      </c>
      <c r="BX18" s="678">
        <v>0</v>
      </c>
      <c r="BY18" s="574">
        <f>ROUND(12.69*2.9*0,0)</f>
        <v>0</v>
      </c>
      <c r="BZ18" s="678">
        <v>0.9</v>
      </c>
      <c r="CA18" s="574">
        <f>ROUND(12.69*2.9*0.9,0)</f>
        <v>33</v>
      </c>
      <c r="CB18" s="678">
        <v>1.2</v>
      </c>
      <c r="CC18" s="574">
        <f>ROUND(12.69*2.9*1.2,0)</f>
        <v>44</v>
      </c>
      <c r="CD18" s="678">
        <v>1.5</v>
      </c>
      <c r="CE18" s="574">
        <f>ROUND(12.69*2.9*1.5,0)</f>
        <v>55</v>
      </c>
      <c r="CF18" s="678">
        <v>1.6</v>
      </c>
      <c r="CG18" s="574">
        <f>ROUND(12.69*2.9*1.6,0)</f>
        <v>59</v>
      </c>
      <c r="CH18" s="678">
        <v>1.7</v>
      </c>
      <c r="CI18" s="574">
        <f>ROUND(12.69*2.9*1.7,0)</f>
        <v>63</v>
      </c>
      <c r="CJ18" s="678">
        <v>1.6</v>
      </c>
      <c r="CK18" s="574">
        <f>ROUND(12.69*2.9*1.6,0)</f>
        <v>59</v>
      </c>
      <c r="CL18" s="678">
        <v>1.5</v>
      </c>
      <c r="CM18" s="574">
        <f>ROUND(12.69*2.9*1.5,0)</f>
        <v>55</v>
      </c>
      <c r="CN18" s="678">
        <v>1.3</v>
      </c>
      <c r="CO18" s="574">
        <f>ROUND(12.69*2.9*1.3,0)</f>
        <v>48</v>
      </c>
      <c r="CP18" s="678">
        <v>1.2</v>
      </c>
      <c r="CQ18" s="574">
        <f>ROUND(12.69*2.9*1.2,0)</f>
        <v>44</v>
      </c>
      <c r="CR18" s="678">
        <v>0.9</v>
      </c>
      <c r="CS18" s="574">
        <f>ROUND(12.69*2.9*0.9,0)</f>
        <v>33</v>
      </c>
      <c r="CT18" s="678">
        <v>0</v>
      </c>
      <c r="CU18" s="574">
        <f>ROUND(12.69*2.9*0,0)</f>
        <v>0</v>
      </c>
      <c r="CV18" s="678">
        <v>0</v>
      </c>
      <c r="CW18" s="574">
        <f>ROUND(12.69*2.9*0,0)</f>
        <v>0</v>
      </c>
      <c r="CX18" s="678">
        <v>0</v>
      </c>
      <c r="CY18" s="574">
        <f>ROUND(12.69*2.9*0,0)</f>
        <v>0</v>
      </c>
      <c r="CZ18" s="678">
        <v>0</v>
      </c>
      <c r="DA18" s="574">
        <f>ROUND(12.69*2.9*0,0)</f>
        <v>0</v>
      </c>
      <c r="DB18" s="678">
        <v>0</v>
      </c>
      <c r="DC18" s="574">
        <f>ROUND(12.69*2.9*0,0)</f>
        <v>0</v>
      </c>
      <c r="DD18" s="678">
        <v>0</v>
      </c>
      <c r="DE18" s="576">
        <f>ROUND(12.69*2.9*0,0)</f>
        <v>0</v>
      </c>
      <c r="DF18" s="549"/>
      <c r="DG18" s="539"/>
      <c r="DH18" s="683" t="s">
        <v>236</v>
      </c>
      <c r="DI18" s="674"/>
      <c r="DJ18" s="570">
        <v>12.69</v>
      </c>
      <c r="DK18" s="675">
        <v>2.9</v>
      </c>
      <c r="DL18" s="676"/>
      <c r="DM18" s="677">
        <v>0</v>
      </c>
      <c r="DN18" s="574">
        <f>ROUND(12.69*2.9*0,0)</f>
        <v>0</v>
      </c>
      <c r="DO18" s="678">
        <v>0</v>
      </c>
      <c r="DP18" s="574">
        <f>ROUND(12.69*2.9*0,0)</f>
        <v>0</v>
      </c>
      <c r="DQ18" s="678">
        <v>0</v>
      </c>
      <c r="DR18" s="574">
        <f>ROUND(12.69*2.9*0,0)</f>
        <v>0</v>
      </c>
      <c r="DS18" s="678">
        <v>0</v>
      </c>
      <c r="DT18" s="574">
        <f>ROUND(12.69*2.9*0,0)</f>
        <v>0</v>
      </c>
      <c r="DU18" s="678">
        <v>0</v>
      </c>
      <c r="DV18" s="574">
        <f>ROUND(12.69*2.9*0,0)</f>
        <v>0</v>
      </c>
      <c r="DW18" s="678">
        <v>0</v>
      </c>
      <c r="DX18" s="574">
        <f>ROUND(12.69*2.9*0,0)</f>
        <v>0</v>
      </c>
      <c r="DY18" s="678">
        <v>0</v>
      </c>
      <c r="DZ18" s="574">
        <f>ROUND(12.69*2.9*0,0)</f>
        <v>0</v>
      </c>
      <c r="EA18" s="678">
        <v>0</v>
      </c>
      <c r="EB18" s="574">
        <f>ROUND(12.69*2.9*0,0)</f>
        <v>0</v>
      </c>
      <c r="EC18" s="678">
        <v>0.2</v>
      </c>
      <c r="ED18" s="574">
        <f>ROUND(12.69*2.9*0.2,0)</f>
        <v>7</v>
      </c>
      <c r="EE18" s="678">
        <v>0.6</v>
      </c>
      <c r="EF18" s="574">
        <f>ROUND(12.69*2.9*0.6,0)</f>
        <v>22</v>
      </c>
      <c r="EG18" s="678">
        <v>0.9</v>
      </c>
      <c r="EH18" s="574">
        <f>ROUND(12.69*2.9*0.9,0)</f>
        <v>33</v>
      </c>
      <c r="EI18" s="678">
        <v>1.1000000000000001</v>
      </c>
      <c r="EJ18" s="574">
        <f>ROUND(12.69*2.9*1.1,0)</f>
        <v>40</v>
      </c>
      <c r="EK18" s="678">
        <v>1.1000000000000001</v>
      </c>
      <c r="EL18" s="574">
        <f>ROUND(12.69*2.9*1.1,0)</f>
        <v>40</v>
      </c>
      <c r="EM18" s="678">
        <v>1</v>
      </c>
      <c r="EN18" s="574">
        <f>ROUND(12.69*2.9*1,0)</f>
        <v>37</v>
      </c>
      <c r="EO18" s="678">
        <v>0.9</v>
      </c>
      <c r="EP18" s="574">
        <f>ROUND(12.69*2.9*0.9,0)</f>
        <v>33</v>
      </c>
      <c r="EQ18" s="678">
        <v>0.8</v>
      </c>
      <c r="ER18" s="574">
        <f>ROUND(12.69*2.9*0.8,0)</f>
        <v>29</v>
      </c>
      <c r="ES18" s="678">
        <v>0.5</v>
      </c>
      <c r="ET18" s="574">
        <f>ROUND(12.69*2.9*0.5,0)</f>
        <v>18</v>
      </c>
      <c r="EU18" s="678">
        <v>0.2</v>
      </c>
      <c r="EV18" s="574">
        <f>ROUND(12.69*2.9*0.2,0)</f>
        <v>7</v>
      </c>
      <c r="EW18" s="678">
        <v>0</v>
      </c>
      <c r="EX18" s="574">
        <f>ROUND(12.69*2.9*0,0)</f>
        <v>0</v>
      </c>
      <c r="EY18" s="678">
        <v>0</v>
      </c>
      <c r="EZ18" s="574">
        <f>ROUND(12.69*2.9*0,0)</f>
        <v>0</v>
      </c>
      <c r="FA18" s="678">
        <v>0</v>
      </c>
      <c r="FB18" s="574">
        <f>ROUND(12.69*2.9*0,0)</f>
        <v>0</v>
      </c>
      <c r="FC18" s="678">
        <v>0</v>
      </c>
      <c r="FD18" s="574">
        <f>ROUND(12.69*2.9*0,0)</f>
        <v>0</v>
      </c>
      <c r="FE18" s="678">
        <v>0</v>
      </c>
      <c r="FF18" s="574">
        <f>ROUND(12.69*2.9*0,0)</f>
        <v>0</v>
      </c>
      <c r="FG18" s="678">
        <v>0</v>
      </c>
      <c r="FH18" s="576">
        <f>ROUND(12.69*2.9*0,0)</f>
        <v>0</v>
      </c>
      <c r="FI18" s="550"/>
      <c r="FJ18" s="551"/>
      <c r="FK18" s="683" t="s">
        <v>236</v>
      </c>
      <c r="FL18" s="674"/>
      <c r="FM18" s="570">
        <v>12.69</v>
      </c>
      <c r="FN18" s="675">
        <v>2.9</v>
      </c>
      <c r="FO18" s="676"/>
      <c r="FP18" s="679">
        <v>9</v>
      </c>
      <c r="FQ18" s="680">
        <v>5.0999999999999996</v>
      </c>
      <c r="FR18" s="574">
        <f>ROUND(12.69*2.9*5.1,0)</f>
        <v>188</v>
      </c>
      <c r="FS18" s="681">
        <v>9</v>
      </c>
      <c r="FT18" s="680">
        <v>5.2</v>
      </c>
      <c r="FU18" s="579">
        <f>ROUND(12.69*2.9*5.2,0)</f>
        <v>191</v>
      </c>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c r="C19" s="674"/>
      <c r="D19" s="570"/>
      <c r="E19" s="675"/>
      <c r="F19" s="676"/>
      <c r="G19" s="677"/>
      <c r="H19" s="574"/>
      <c r="I19" s="678"/>
      <c r="J19" s="574"/>
      <c r="K19" s="678"/>
      <c r="L19" s="574"/>
      <c r="M19" s="678"/>
      <c r="N19" s="574"/>
      <c r="O19" s="678"/>
      <c r="P19" s="574"/>
      <c r="Q19" s="678"/>
      <c r="R19" s="574"/>
      <c r="S19" s="678"/>
      <c r="T19" s="574"/>
      <c r="U19" s="678"/>
      <c r="V19" s="574"/>
      <c r="W19" s="678"/>
      <c r="X19" s="574"/>
      <c r="Y19" s="678"/>
      <c r="Z19" s="574"/>
      <c r="AA19" s="678"/>
      <c r="AB19" s="574"/>
      <c r="AC19" s="678"/>
      <c r="AD19" s="574"/>
      <c r="AE19" s="678"/>
      <c r="AF19" s="574"/>
      <c r="AG19" s="678"/>
      <c r="AH19" s="574"/>
      <c r="AI19" s="678"/>
      <c r="AJ19" s="574"/>
      <c r="AK19" s="678"/>
      <c r="AL19" s="574"/>
      <c r="AM19" s="678"/>
      <c r="AN19" s="574"/>
      <c r="AO19" s="678"/>
      <c r="AP19" s="574"/>
      <c r="AQ19" s="678"/>
      <c r="AR19" s="574"/>
      <c r="AS19" s="678"/>
      <c r="AT19" s="574"/>
      <c r="AU19" s="678"/>
      <c r="AV19" s="574"/>
      <c r="AW19" s="678"/>
      <c r="AX19" s="574"/>
      <c r="AY19" s="678"/>
      <c r="AZ19" s="574"/>
      <c r="BA19" s="678"/>
      <c r="BB19" s="576"/>
      <c r="BC19" s="549"/>
      <c r="BD19" s="539"/>
      <c r="BE19" s="683"/>
      <c r="BF19" s="674"/>
      <c r="BG19" s="570"/>
      <c r="BH19" s="675"/>
      <c r="BI19" s="676"/>
      <c r="BJ19" s="677"/>
      <c r="BK19" s="574"/>
      <c r="BL19" s="678"/>
      <c r="BM19" s="574"/>
      <c r="BN19" s="678"/>
      <c r="BO19" s="574"/>
      <c r="BP19" s="678"/>
      <c r="BQ19" s="574"/>
      <c r="BR19" s="678"/>
      <c r="BS19" s="574"/>
      <c r="BT19" s="678"/>
      <c r="BU19" s="574"/>
      <c r="BV19" s="678"/>
      <c r="BW19" s="574"/>
      <c r="BX19" s="678"/>
      <c r="BY19" s="574"/>
      <c r="BZ19" s="678"/>
      <c r="CA19" s="574"/>
      <c r="CB19" s="678"/>
      <c r="CC19" s="574"/>
      <c r="CD19" s="678"/>
      <c r="CE19" s="574"/>
      <c r="CF19" s="678"/>
      <c r="CG19" s="574"/>
      <c r="CH19" s="678"/>
      <c r="CI19" s="574"/>
      <c r="CJ19" s="678"/>
      <c r="CK19" s="574"/>
      <c r="CL19" s="678"/>
      <c r="CM19" s="574"/>
      <c r="CN19" s="678"/>
      <c r="CO19" s="574"/>
      <c r="CP19" s="678"/>
      <c r="CQ19" s="574"/>
      <c r="CR19" s="678"/>
      <c r="CS19" s="574"/>
      <c r="CT19" s="678"/>
      <c r="CU19" s="574"/>
      <c r="CV19" s="678"/>
      <c r="CW19" s="574"/>
      <c r="CX19" s="678"/>
      <c r="CY19" s="574"/>
      <c r="CZ19" s="678"/>
      <c r="DA19" s="574"/>
      <c r="DB19" s="678"/>
      <c r="DC19" s="574"/>
      <c r="DD19" s="678"/>
      <c r="DE19" s="576"/>
      <c r="DF19" s="549"/>
      <c r="DG19" s="539"/>
      <c r="DH19" s="683"/>
      <c r="DI19" s="674"/>
      <c r="DJ19" s="570"/>
      <c r="DK19" s="675"/>
      <c r="DL19" s="676"/>
      <c r="DM19" s="677"/>
      <c r="DN19" s="574"/>
      <c r="DO19" s="678"/>
      <c r="DP19" s="574"/>
      <c r="DQ19" s="678"/>
      <c r="DR19" s="574"/>
      <c r="DS19" s="678"/>
      <c r="DT19" s="574"/>
      <c r="DU19" s="678"/>
      <c r="DV19" s="574"/>
      <c r="DW19" s="678"/>
      <c r="DX19" s="574"/>
      <c r="DY19" s="678"/>
      <c r="DZ19" s="574"/>
      <c r="EA19" s="678"/>
      <c r="EB19" s="574"/>
      <c r="EC19" s="678"/>
      <c r="ED19" s="574"/>
      <c r="EE19" s="678"/>
      <c r="EF19" s="574"/>
      <c r="EG19" s="678"/>
      <c r="EH19" s="574"/>
      <c r="EI19" s="678"/>
      <c r="EJ19" s="574"/>
      <c r="EK19" s="678"/>
      <c r="EL19" s="574"/>
      <c r="EM19" s="678"/>
      <c r="EN19" s="574"/>
      <c r="EO19" s="678"/>
      <c r="EP19" s="574"/>
      <c r="EQ19" s="678"/>
      <c r="ER19" s="574"/>
      <c r="ES19" s="678"/>
      <c r="ET19" s="574"/>
      <c r="EU19" s="678"/>
      <c r="EV19" s="574"/>
      <c r="EW19" s="678"/>
      <c r="EX19" s="574"/>
      <c r="EY19" s="678"/>
      <c r="EZ19" s="574"/>
      <c r="FA19" s="678"/>
      <c r="FB19" s="574"/>
      <c r="FC19" s="678"/>
      <c r="FD19" s="574"/>
      <c r="FE19" s="678"/>
      <c r="FF19" s="574"/>
      <c r="FG19" s="678"/>
      <c r="FH19" s="576"/>
      <c r="FI19" s="550"/>
      <c r="FJ19" s="551"/>
      <c r="FK19" s="683"/>
      <c r="FL19" s="674"/>
      <c r="FM19" s="570"/>
      <c r="FN19" s="675"/>
      <c r="FO19" s="676"/>
      <c r="FP19" s="679"/>
      <c r="FQ19" s="680"/>
      <c r="FR19" s="574"/>
      <c r="FS19" s="681"/>
      <c r="FT19" s="680"/>
      <c r="FU19" s="579"/>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7.53</v>
      </c>
      <c r="GO21" s="687"/>
      <c r="GP21" s="688"/>
      <c r="GQ21" s="620">
        <v>0</v>
      </c>
      <c r="GR21" s="621">
        <v>7.53</v>
      </c>
      <c r="GS21" s="565"/>
      <c r="GT21" s="660"/>
      <c r="GU21" s="684" t="s">
        <v>433</v>
      </c>
      <c r="GV21" s="685"/>
      <c r="GW21" s="686"/>
      <c r="GX21" s="689">
        <v>7.53</v>
      </c>
      <c r="GY21" s="690"/>
      <c r="GZ21" s="687"/>
      <c r="HA21" s="691">
        <v>0</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35.25</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0.21</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663</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103</v>
      </c>
      <c r="Y26" s="1271"/>
      <c r="Z26" s="1264">
        <f>SUM(Z16:Z25)</f>
        <v>138</v>
      </c>
      <c r="AA26" s="1271"/>
      <c r="AB26" s="1264">
        <f>SUM(AB16:AB25)</f>
        <v>167</v>
      </c>
      <c r="AC26" s="1271"/>
      <c r="AD26" s="1264">
        <f>SUM(AD16:AD25)</f>
        <v>188</v>
      </c>
      <c r="AE26" s="1271"/>
      <c r="AF26" s="1264">
        <f>SUM(AF16:AF25)</f>
        <v>202</v>
      </c>
      <c r="AG26" s="1271"/>
      <c r="AH26" s="1264">
        <f>SUM(AH16:AH25)</f>
        <v>209</v>
      </c>
      <c r="AI26" s="1271"/>
      <c r="AJ26" s="1264">
        <f>SUM(AJ16:AJ25)</f>
        <v>200</v>
      </c>
      <c r="AK26" s="1271"/>
      <c r="AL26" s="1264">
        <f>SUM(AL16:AL25)</f>
        <v>194</v>
      </c>
      <c r="AM26" s="1271"/>
      <c r="AN26" s="1264">
        <f>SUM(AN16:AN25)</f>
        <v>172</v>
      </c>
      <c r="AO26" s="1271"/>
      <c r="AP26" s="1264">
        <f>SUM(AP16:AP25)</f>
        <v>154</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663</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92</v>
      </c>
      <c r="CB26" s="1271"/>
      <c r="CC26" s="1264">
        <f>SUM(CC16:CC25)</f>
        <v>124</v>
      </c>
      <c r="CD26" s="1271"/>
      <c r="CE26" s="1264">
        <f>SUM(CE16:CE25)</f>
        <v>155</v>
      </c>
      <c r="CF26" s="1271"/>
      <c r="CG26" s="1264">
        <f>SUM(CG16:CG25)</f>
        <v>172</v>
      </c>
      <c r="CH26" s="1271"/>
      <c r="CI26" s="1264">
        <f>SUM(CI16:CI25)</f>
        <v>187</v>
      </c>
      <c r="CJ26" s="1271"/>
      <c r="CK26" s="1264">
        <f>SUM(CK16:CK25)</f>
        <v>185</v>
      </c>
      <c r="CL26" s="1271"/>
      <c r="CM26" s="1264">
        <f>SUM(CM16:CM25)</f>
        <v>178</v>
      </c>
      <c r="CN26" s="1271"/>
      <c r="CO26" s="1264">
        <f>SUM(CO16:CO25)</f>
        <v>170</v>
      </c>
      <c r="CP26" s="1271"/>
      <c r="CQ26" s="1264">
        <f>SUM(CQ16:CQ25)</f>
        <v>162</v>
      </c>
      <c r="CR26" s="1271"/>
      <c r="CS26" s="1264">
        <f>SUM(CS16:CS25)</f>
        <v>140</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663</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20</v>
      </c>
      <c r="EE26" s="1271"/>
      <c r="EF26" s="1264">
        <f>SUM(EF16:EF25)</f>
        <v>55</v>
      </c>
      <c r="EG26" s="1271"/>
      <c r="EH26" s="1264">
        <f>SUM(EH16:EH25)</f>
        <v>79</v>
      </c>
      <c r="EI26" s="1271"/>
      <c r="EJ26" s="1264">
        <f>SUM(EJ16:EJ25)</f>
        <v>101</v>
      </c>
      <c r="EK26" s="1271"/>
      <c r="EL26" s="1264">
        <f>SUM(EL16:EL25)</f>
        <v>112</v>
      </c>
      <c r="EM26" s="1271"/>
      <c r="EN26" s="1264">
        <f>SUM(EN16:EN25)</f>
        <v>111</v>
      </c>
      <c r="EO26" s="1271"/>
      <c r="EP26" s="1264">
        <f>SUM(EP16:EP25)</f>
        <v>107</v>
      </c>
      <c r="EQ26" s="1271"/>
      <c r="ER26" s="1264">
        <f>SUM(ER16:ER25)</f>
        <v>102</v>
      </c>
      <c r="ES26" s="1271"/>
      <c r="ET26" s="1264">
        <f>SUM(ET16:ET25)</f>
        <v>78</v>
      </c>
      <c r="EU26" s="1271"/>
      <c r="EV26" s="1264">
        <f>SUM(EV16:EV25)</f>
        <v>52</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663</v>
      </c>
      <c r="FN26" s="629"/>
      <c r="FO26" s="629"/>
      <c r="FP26" s="1267"/>
      <c r="FQ26" s="638"/>
      <c r="FR26" s="1264">
        <f>SUM(FR16:FR25)</f>
        <v>612</v>
      </c>
      <c r="FS26" s="1272"/>
      <c r="FT26" s="638"/>
      <c r="FU26" s="1269">
        <f>SUM(FU16:FU25)</f>
        <v>627</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v>
      </c>
      <c r="GZ26" s="567"/>
      <c r="HA26" s="517"/>
      <c r="HB26" s="517"/>
      <c r="HC26" s="517"/>
      <c r="HD26" s="635"/>
      <c r="HE26" s="406"/>
      <c r="HF26" s="406"/>
      <c r="HG26" s="567"/>
      <c r="HH26" s="635"/>
      <c r="HI26" s="406"/>
      <c r="HJ26" s="406"/>
    </row>
    <row r="27" spans="1:218" ht="20.100000000000001" customHeight="1">
      <c r="A27" s="1273" t="s">
        <v>369</v>
      </c>
      <c r="B27" s="721"/>
      <c r="C27" s="722"/>
      <c r="D27" s="650"/>
      <c r="E27" s="722"/>
      <c r="F27" s="722"/>
      <c r="G27" s="723" t="s">
        <v>367</v>
      </c>
      <c r="H27" s="650" t="s">
        <v>368</v>
      </c>
      <c r="I27" s="724" t="s">
        <v>367</v>
      </c>
      <c r="J27" s="650" t="s">
        <v>368</v>
      </c>
      <c r="K27" s="725" t="s">
        <v>367</v>
      </c>
      <c r="L27" s="650" t="s">
        <v>368</v>
      </c>
      <c r="M27" s="725" t="s">
        <v>367</v>
      </c>
      <c r="N27" s="650" t="s">
        <v>368</v>
      </c>
      <c r="O27" s="725" t="s">
        <v>367</v>
      </c>
      <c r="P27" s="650" t="s">
        <v>368</v>
      </c>
      <c r="Q27" s="725" t="s">
        <v>367</v>
      </c>
      <c r="R27" s="650" t="s">
        <v>368</v>
      </c>
      <c r="S27" s="725" t="s">
        <v>367</v>
      </c>
      <c r="T27" s="650" t="s">
        <v>655</v>
      </c>
      <c r="U27" s="725" t="s">
        <v>367</v>
      </c>
      <c r="V27" s="650" t="s">
        <v>368</v>
      </c>
      <c r="W27" s="725" t="s">
        <v>367</v>
      </c>
      <c r="X27" s="650" t="s">
        <v>368</v>
      </c>
      <c r="Y27" s="725" t="s">
        <v>654</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7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7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v>55</v>
      </c>
      <c r="E28" s="738">
        <v>18</v>
      </c>
      <c r="F28" s="739" t="s">
        <v>373</v>
      </c>
      <c r="G28" s="740"/>
      <c r="H28" s="546"/>
      <c r="I28" s="741"/>
      <c r="J28" s="546"/>
      <c r="K28" s="741"/>
      <c r="L28" s="546"/>
      <c r="M28" s="741"/>
      <c r="N28" s="546"/>
      <c r="O28" s="741"/>
      <c r="P28" s="546"/>
      <c r="Q28" s="741"/>
      <c r="R28" s="546"/>
      <c r="S28" s="741"/>
      <c r="T28" s="546"/>
      <c r="U28" s="741"/>
      <c r="V28" s="546"/>
      <c r="W28" s="741">
        <v>1</v>
      </c>
      <c r="X28" s="546">
        <v>990</v>
      </c>
      <c r="Y28" s="741">
        <v>1</v>
      </c>
      <c r="Z28" s="546">
        <v>990</v>
      </c>
      <c r="AA28" s="741">
        <v>1</v>
      </c>
      <c r="AB28" s="546">
        <v>990</v>
      </c>
      <c r="AC28" s="741">
        <v>1</v>
      </c>
      <c r="AD28" s="546">
        <v>990</v>
      </c>
      <c r="AE28" s="741">
        <v>1</v>
      </c>
      <c r="AF28" s="546">
        <v>990</v>
      </c>
      <c r="AG28" s="741">
        <v>1</v>
      </c>
      <c r="AH28" s="546">
        <v>990</v>
      </c>
      <c r="AI28" s="741">
        <v>1</v>
      </c>
      <c r="AJ28" s="546">
        <v>990</v>
      </c>
      <c r="AK28" s="741">
        <v>1</v>
      </c>
      <c r="AL28" s="546">
        <v>990</v>
      </c>
      <c r="AM28" s="741">
        <v>1</v>
      </c>
      <c r="AN28" s="546">
        <v>990</v>
      </c>
      <c r="AO28" s="741">
        <v>1</v>
      </c>
      <c r="AP28" s="546">
        <v>990</v>
      </c>
      <c r="AQ28" s="741"/>
      <c r="AR28" s="546"/>
      <c r="AS28" s="741"/>
      <c r="AT28" s="546"/>
      <c r="AU28" s="741"/>
      <c r="AV28" s="546"/>
      <c r="AW28" s="741"/>
      <c r="AX28" s="546"/>
      <c r="AY28" s="741"/>
      <c r="AZ28" s="546"/>
      <c r="BA28" s="741"/>
      <c r="BB28" s="667"/>
      <c r="BC28" s="549"/>
      <c r="BD28" s="539"/>
      <c r="BE28" s="735" t="s">
        <v>372</v>
      </c>
      <c r="BF28" s="736"/>
      <c r="BG28" s="737">
        <v>55</v>
      </c>
      <c r="BH28" s="738">
        <v>18</v>
      </c>
      <c r="BI28" s="739" t="s">
        <v>373</v>
      </c>
      <c r="BJ28" s="740"/>
      <c r="BK28" s="546"/>
      <c r="BL28" s="741"/>
      <c r="BM28" s="546"/>
      <c r="BN28" s="741"/>
      <c r="BO28" s="546"/>
      <c r="BP28" s="741"/>
      <c r="BQ28" s="546"/>
      <c r="BR28" s="741"/>
      <c r="BS28" s="546"/>
      <c r="BT28" s="741"/>
      <c r="BU28" s="546"/>
      <c r="BV28" s="741"/>
      <c r="BW28" s="546"/>
      <c r="BX28" s="741"/>
      <c r="BY28" s="546"/>
      <c r="BZ28" s="741">
        <v>1</v>
      </c>
      <c r="CA28" s="546">
        <v>990</v>
      </c>
      <c r="CB28" s="741">
        <v>1</v>
      </c>
      <c r="CC28" s="546">
        <v>990</v>
      </c>
      <c r="CD28" s="741">
        <v>1</v>
      </c>
      <c r="CE28" s="546">
        <v>990</v>
      </c>
      <c r="CF28" s="741">
        <v>1</v>
      </c>
      <c r="CG28" s="546">
        <v>990</v>
      </c>
      <c r="CH28" s="741">
        <v>1</v>
      </c>
      <c r="CI28" s="546">
        <v>990</v>
      </c>
      <c r="CJ28" s="741">
        <v>1</v>
      </c>
      <c r="CK28" s="546">
        <v>990</v>
      </c>
      <c r="CL28" s="741">
        <v>1</v>
      </c>
      <c r="CM28" s="546">
        <v>990</v>
      </c>
      <c r="CN28" s="741">
        <v>1</v>
      </c>
      <c r="CO28" s="546">
        <v>990</v>
      </c>
      <c r="CP28" s="741">
        <v>1</v>
      </c>
      <c r="CQ28" s="546">
        <v>990</v>
      </c>
      <c r="CR28" s="741">
        <v>1</v>
      </c>
      <c r="CS28" s="546">
        <v>990</v>
      </c>
      <c r="CT28" s="741"/>
      <c r="CU28" s="546"/>
      <c r="CV28" s="741"/>
      <c r="CW28" s="546"/>
      <c r="CX28" s="741"/>
      <c r="CY28" s="546"/>
      <c r="CZ28" s="741"/>
      <c r="DA28" s="546"/>
      <c r="DB28" s="741"/>
      <c r="DC28" s="546"/>
      <c r="DD28" s="741"/>
      <c r="DE28" s="667"/>
      <c r="DF28" s="549"/>
      <c r="DG28" s="539"/>
      <c r="DH28" s="735" t="s">
        <v>372</v>
      </c>
      <c r="DI28" s="736"/>
      <c r="DJ28" s="737">
        <v>55</v>
      </c>
      <c r="DK28" s="738">
        <v>18</v>
      </c>
      <c r="DL28" s="739" t="s">
        <v>373</v>
      </c>
      <c r="DM28" s="740"/>
      <c r="DN28" s="546"/>
      <c r="DO28" s="741"/>
      <c r="DP28" s="546"/>
      <c r="DQ28" s="741"/>
      <c r="DR28" s="546"/>
      <c r="DS28" s="741"/>
      <c r="DT28" s="546"/>
      <c r="DU28" s="741"/>
      <c r="DV28" s="546"/>
      <c r="DW28" s="741"/>
      <c r="DX28" s="546"/>
      <c r="DY28" s="741"/>
      <c r="DZ28" s="546"/>
      <c r="EA28" s="741"/>
      <c r="EB28" s="546"/>
      <c r="EC28" s="741">
        <v>1</v>
      </c>
      <c r="ED28" s="546">
        <v>990</v>
      </c>
      <c r="EE28" s="741">
        <v>1</v>
      </c>
      <c r="EF28" s="546">
        <v>990</v>
      </c>
      <c r="EG28" s="741">
        <v>1</v>
      </c>
      <c r="EH28" s="546">
        <v>990</v>
      </c>
      <c r="EI28" s="741">
        <v>1</v>
      </c>
      <c r="EJ28" s="546">
        <v>990</v>
      </c>
      <c r="EK28" s="741">
        <v>1</v>
      </c>
      <c r="EL28" s="546">
        <v>990</v>
      </c>
      <c r="EM28" s="741">
        <v>1</v>
      </c>
      <c r="EN28" s="546">
        <v>990</v>
      </c>
      <c r="EO28" s="741">
        <v>1</v>
      </c>
      <c r="EP28" s="546">
        <v>990</v>
      </c>
      <c r="EQ28" s="741">
        <v>1</v>
      </c>
      <c r="ER28" s="546">
        <v>990</v>
      </c>
      <c r="ES28" s="741">
        <v>1</v>
      </c>
      <c r="ET28" s="546">
        <v>990</v>
      </c>
      <c r="EU28" s="741">
        <v>1</v>
      </c>
      <c r="EV28" s="546">
        <v>990</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13</v>
      </c>
      <c r="E29" s="750">
        <v>35.25</v>
      </c>
      <c r="F29" s="751" t="s">
        <v>373</v>
      </c>
      <c r="G29" s="752"/>
      <c r="H29" s="574"/>
      <c r="I29" s="753"/>
      <c r="J29" s="574"/>
      <c r="K29" s="753"/>
      <c r="L29" s="574"/>
      <c r="M29" s="753"/>
      <c r="N29" s="574"/>
      <c r="O29" s="753"/>
      <c r="P29" s="574"/>
      <c r="Q29" s="753"/>
      <c r="R29" s="574"/>
      <c r="S29" s="753"/>
      <c r="T29" s="574"/>
      <c r="U29" s="753"/>
      <c r="V29" s="574"/>
      <c r="W29" s="753">
        <v>1</v>
      </c>
      <c r="X29" s="574">
        <v>458</v>
      </c>
      <c r="Y29" s="753">
        <v>1</v>
      </c>
      <c r="Z29" s="574">
        <v>458</v>
      </c>
      <c r="AA29" s="753">
        <v>1</v>
      </c>
      <c r="AB29" s="574">
        <v>458</v>
      </c>
      <c r="AC29" s="753">
        <v>1</v>
      </c>
      <c r="AD29" s="574">
        <v>458</v>
      </c>
      <c r="AE29" s="753">
        <v>1</v>
      </c>
      <c r="AF29" s="574">
        <v>458</v>
      </c>
      <c r="AG29" s="753">
        <v>1</v>
      </c>
      <c r="AH29" s="574">
        <v>458</v>
      </c>
      <c r="AI29" s="753">
        <v>1</v>
      </c>
      <c r="AJ29" s="574">
        <v>458</v>
      </c>
      <c r="AK29" s="753">
        <v>1</v>
      </c>
      <c r="AL29" s="574">
        <v>458</v>
      </c>
      <c r="AM29" s="753">
        <v>1</v>
      </c>
      <c r="AN29" s="574">
        <v>458</v>
      </c>
      <c r="AO29" s="753">
        <v>1</v>
      </c>
      <c r="AP29" s="574">
        <v>458</v>
      </c>
      <c r="AQ29" s="753"/>
      <c r="AR29" s="574"/>
      <c r="AS29" s="753"/>
      <c r="AT29" s="574"/>
      <c r="AU29" s="753"/>
      <c r="AV29" s="574"/>
      <c r="AW29" s="753"/>
      <c r="AX29" s="574"/>
      <c r="AY29" s="753"/>
      <c r="AZ29" s="574"/>
      <c r="BA29" s="753"/>
      <c r="BB29" s="576"/>
      <c r="BC29" s="549"/>
      <c r="BD29" s="539"/>
      <c r="BE29" s="747" t="s">
        <v>374</v>
      </c>
      <c r="BF29" s="748"/>
      <c r="BG29" s="749">
        <v>13</v>
      </c>
      <c r="BH29" s="750">
        <v>35.25</v>
      </c>
      <c r="BI29" s="751" t="s">
        <v>373</v>
      </c>
      <c r="BJ29" s="752"/>
      <c r="BK29" s="574"/>
      <c r="BL29" s="753"/>
      <c r="BM29" s="574"/>
      <c r="BN29" s="753"/>
      <c r="BO29" s="574"/>
      <c r="BP29" s="753"/>
      <c r="BQ29" s="574"/>
      <c r="BR29" s="753"/>
      <c r="BS29" s="574"/>
      <c r="BT29" s="753"/>
      <c r="BU29" s="574"/>
      <c r="BV29" s="753"/>
      <c r="BW29" s="574"/>
      <c r="BX29" s="753"/>
      <c r="BY29" s="574"/>
      <c r="BZ29" s="753">
        <v>1</v>
      </c>
      <c r="CA29" s="574">
        <v>458</v>
      </c>
      <c r="CB29" s="753">
        <v>1</v>
      </c>
      <c r="CC29" s="574">
        <v>458</v>
      </c>
      <c r="CD29" s="753">
        <v>1</v>
      </c>
      <c r="CE29" s="574">
        <v>458</v>
      </c>
      <c r="CF29" s="753">
        <v>1</v>
      </c>
      <c r="CG29" s="574">
        <v>458</v>
      </c>
      <c r="CH29" s="753">
        <v>1</v>
      </c>
      <c r="CI29" s="574">
        <v>458</v>
      </c>
      <c r="CJ29" s="753">
        <v>1</v>
      </c>
      <c r="CK29" s="574">
        <v>458</v>
      </c>
      <c r="CL29" s="753">
        <v>1</v>
      </c>
      <c r="CM29" s="574">
        <v>458</v>
      </c>
      <c r="CN29" s="753">
        <v>1</v>
      </c>
      <c r="CO29" s="574">
        <v>458</v>
      </c>
      <c r="CP29" s="753">
        <v>1</v>
      </c>
      <c r="CQ29" s="574">
        <v>458</v>
      </c>
      <c r="CR29" s="753">
        <v>1</v>
      </c>
      <c r="CS29" s="574">
        <v>458</v>
      </c>
      <c r="CT29" s="753"/>
      <c r="CU29" s="574"/>
      <c r="CV29" s="753"/>
      <c r="CW29" s="574"/>
      <c r="CX29" s="753"/>
      <c r="CY29" s="574"/>
      <c r="CZ29" s="753"/>
      <c r="DA29" s="574"/>
      <c r="DB29" s="753"/>
      <c r="DC29" s="574"/>
      <c r="DD29" s="753"/>
      <c r="DE29" s="576"/>
      <c r="DF29" s="549"/>
      <c r="DG29" s="539"/>
      <c r="DH29" s="747" t="s">
        <v>374</v>
      </c>
      <c r="DI29" s="748"/>
      <c r="DJ29" s="749">
        <v>13</v>
      </c>
      <c r="DK29" s="750">
        <v>35.25</v>
      </c>
      <c r="DL29" s="751" t="s">
        <v>373</v>
      </c>
      <c r="DM29" s="752"/>
      <c r="DN29" s="574"/>
      <c r="DO29" s="753"/>
      <c r="DP29" s="574"/>
      <c r="DQ29" s="753"/>
      <c r="DR29" s="574"/>
      <c r="DS29" s="753"/>
      <c r="DT29" s="574"/>
      <c r="DU29" s="753"/>
      <c r="DV29" s="574"/>
      <c r="DW29" s="753"/>
      <c r="DX29" s="574"/>
      <c r="DY29" s="753"/>
      <c r="DZ29" s="574"/>
      <c r="EA29" s="753"/>
      <c r="EB29" s="574"/>
      <c r="EC29" s="753">
        <v>1</v>
      </c>
      <c r="ED29" s="574">
        <v>458</v>
      </c>
      <c r="EE29" s="753">
        <v>1</v>
      </c>
      <c r="EF29" s="574">
        <v>458</v>
      </c>
      <c r="EG29" s="753">
        <v>1</v>
      </c>
      <c r="EH29" s="574">
        <v>458</v>
      </c>
      <c r="EI29" s="753">
        <v>1</v>
      </c>
      <c r="EJ29" s="574">
        <v>458</v>
      </c>
      <c r="EK29" s="753">
        <v>1</v>
      </c>
      <c r="EL29" s="574">
        <v>458</v>
      </c>
      <c r="EM29" s="753">
        <v>1</v>
      </c>
      <c r="EN29" s="574">
        <v>458</v>
      </c>
      <c r="EO29" s="753">
        <v>1</v>
      </c>
      <c r="EP29" s="574">
        <v>458</v>
      </c>
      <c r="EQ29" s="753">
        <v>1</v>
      </c>
      <c r="ER29" s="574">
        <v>458</v>
      </c>
      <c r="ES29" s="753">
        <v>1</v>
      </c>
      <c r="ET29" s="574">
        <v>458</v>
      </c>
      <c r="EU29" s="753">
        <v>1</v>
      </c>
      <c r="EV29" s="574">
        <v>458</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v>25</v>
      </c>
      <c r="D30" s="750">
        <v>35.25</v>
      </c>
      <c r="E30" s="759">
        <v>0.6</v>
      </c>
      <c r="F30" s="760" t="s">
        <v>373</v>
      </c>
      <c r="G30" s="752"/>
      <c r="H30" s="574"/>
      <c r="I30" s="753"/>
      <c r="J30" s="574"/>
      <c r="K30" s="753"/>
      <c r="L30" s="574"/>
      <c r="M30" s="753"/>
      <c r="N30" s="574"/>
      <c r="O30" s="753"/>
      <c r="P30" s="574"/>
      <c r="Q30" s="753"/>
      <c r="R30" s="574"/>
      <c r="S30" s="753"/>
      <c r="T30" s="574"/>
      <c r="U30" s="753"/>
      <c r="V30" s="574"/>
      <c r="W30" s="753">
        <v>1</v>
      </c>
      <c r="X30" s="574">
        <v>529</v>
      </c>
      <c r="Y30" s="753">
        <v>1</v>
      </c>
      <c r="Z30" s="574">
        <v>529</v>
      </c>
      <c r="AA30" s="753">
        <v>1</v>
      </c>
      <c r="AB30" s="574">
        <v>529</v>
      </c>
      <c r="AC30" s="753">
        <v>1</v>
      </c>
      <c r="AD30" s="574">
        <v>529</v>
      </c>
      <c r="AE30" s="753">
        <v>1</v>
      </c>
      <c r="AF30" s="574">
        <v>529</v>
      </c>
      <c r="AG30" s="753">
        <v>1</v>
      </c>
      <c r="AH30" s="574">
        <v>529</v>
      </c>
      <c r="AI30" s="753">
        <v>1</v>
      </c>
      <c r="AJ30" s="574">
        <v>529</v>
      </c>
      <c r="AK30" s="753">
        <v>1</v>
      </c>
      <c r="AL30" s="574">
        <v>529</v>
      </c>
      <c r="AM30" s="753">
        <v>1</v>
      </c>
      <c r="AN30" s="574">
        <v>529</v>
      </c>
      <c r="AO30" s="753">
        <v>1</v>
      </c>
      <c r="AP30" s="574">
        <v>529</v>
      </c>
      <c r="AQ30" s="753"/>
      <c r="AR30" s="574"/>
      <c r="AS30" s="753"/>
      <c r="AT30" s="574"/>
      <c r="AU30" s="753"/>
      <c r="AV30" s="574"/>
      <c r="AW30" s="753"/>
      <c r="AX30" s="574"/>
      <c r="AY30" s="753"/>
      <c r="AZ30" s="574"/>
      <c r="BA30" s="753"/>
      <c r="BB30" s="576"/>
      <c r="BC30" s="549"/>
      <c r="BD30" s="539"/>
      <c r="BE30" s="747" t="s">
        <v>375</v>
      </c>
      <c r="BF30" s="749">
        <v>25</v>
      </c>
      <c r="BG30" s="750">
        <v>35.25</v>
      </c>
      <c r="BH30" s="759">
        <v>0.6</v>
      </c>
      <c r="BI30" s="760" t="s">
        <v>373</v>
      </c>
      <c r="BJ30" s="752"/>
      <c r="BK30" s="574"/>
      <c r="BL30" s="753"/>
      <c r="BM30" s="574"/>
      <c r="BN30" s="753"/>
      <c r="BO30" s="574"/>
      <c r="BP30" s="753"/>
      <c r="BQ30" s="574"/>
      <c r="BR30" s="753"/>
      <c r="BS30" s="574"/>
      <c r="BT30" s="753"/>
      <c r="BU30" s="574"/>
      <c r="BV30" s="753"/>
      <c r="BW30" s="574"/>
      <c r="BX30" s="753"/>
      <c r="BY30" s="574"/>
      <c r="BZ30" s="753">
        <v>1</v>
      </c>
      <c r="CA30" s="574">
        <v>529</v>
      </c>
      <c r="CB30" s="753">
        <v>1</v>
      </c>
      <c r="CC30" s="574">
        <v>529</v>
      </c>
      <c r="CD30" s="753">
        <v>1</v>
      </c>
      <c r="CE30" s="574">
        <v>529</v>
      </c>
      <c r="CF30" s="753">
        <v>1</v>
      </c>
      <c r="CG30" s="574">
        <v>529</v>
      </c>
      <c r="CH30" s="753">
        <v>1</v>
      </c>
      <c r="CI30" s="574">
        <v>529</v>
      </c>
      <c r="CJ30" s="753">
        <v>1</v>
      </c>
      <c r="CK30" s="574">
        <v>529</v>
      </c>
      <c r="CL30" s="753">
        <v>1</v>
      </c>
      <c r="CM30" s="574">
        <v>529</v>
      </c>
      <c r="CN30" s="753">
        <v>1</v>
      </c>
      <c r="CO30" s="574">
        <v>529</v>
      </c>
      <c r="CP30" s="753">
        <v>1</v>
      </c>
      <c r="CQ30" s="574">
        <v>529</v>
      </c>
      <c r="CR30" s="753">
        <v>1</v>
      </c>
      <c r="CS30" s="574">
        <v>529</v>
      </c>
      <c r="CT30" s="753"/>
      <c r="CU30" s="574"/>
      <c r="CV30" s="753"/>
      <c r="CW30" s="574"/>
      <c r="CX30" s="753"/>
      <c r="CY30" s="574"/>
      <c r="CZ30" s="753"/>
      <c r="DA30" s="574"/>
      <c r="DB30" s="753"/>
      <c r="DC30" s="574"/>
      <c r="DD30" s="753"/>
      <c r="DE30" s="576"/>
      <c r="DF30" s="549"/>
      <c r="DG30" s="539"/>
      <c r="DH30" s="747" t="s">
        <v>375</v>
      </c>
      <c r="DI30" s="749">
        <v>25</v>
      </c>
      <c r="DJ30" s="750">
        <v>35.25</v>
      </c>
      <c r="DK30" s="759">
        <v>0.6</v>
      </c>
      <c r="DL30" s="760" t="s">
        <v>373</v>
      </c>
      <c r="DM30" s="752"/>
      <c r="DN30" s="574"/>
      <c r="DO30" s="753"/>
      <c r="DP30" s="574"/>
      <c r="DQ30" s="753"/>
      <c r="DR30" s="574"/>
      <c r="DS30" s="753"/>
      <c r="DT30" s="574"/>
      <c r="DU30" s="753"/>
      <c r="DV30" s="574"/>
      <c r="DW30" s="753"/>
      <c r="DX30" s="574"/>
      <c r="DY30" s="753"/>
      <c r="DZ30" s="574"/>
      <c r="EA30" s="753"/>
      <c r="EB30" s="574"/>
      <c r="EC30" s="753">
        <v>1</v>
      </c>
      <c r="ED30" s="574">
        <v>529</v>
      </c>
      <c r="EE30" s="753">
        <v>1</v>
      </c>
      <c r="EF30" s="574">
        <v>529</v>
      </c>
      <c r="EG30" s="753">
        <v>1</v>
      </c>
      <c r="EH30" s="574">
        <v>529</v>
      </c>
      <c r="EI30" s="753">
        <v>1</v>
      </c>
      <c r="EJ30" s="574">
        <v>529</v>
      </c>
      <c r="EK30" s="753">
        <v>1</v>
      </c>
      <c r="EL30" s="574">
        <v>529</v>
      </c>
      <c r="EM30" s="753">
        <v>1</v>
      </c>
      <c r="EN30" s="574">
        <v>529</v>
      </c>
      <c r="EO30" s="753">
        <v>1</v>
      </c>
      <c r="EP30" s="574">
        <v>529</v>
      </c>
      <c r="EQ30" s="753">
        <v>1</v>
      </c>
      <c r="ER30" s="574">
        <v>529</v>
      </c>
      <c r="ES30" s="753">
        <v>1</v>
      </c>
      <c r="ET30" s="574">
        <v>529</v>
      </c>
      <c r="EU30" s="753">
        <v>1</v>
      </c>
      <c r="EV30" s="574">
        <v>529</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65"/>
      <c r="J33" s="1264">
        <v>0</v>
      </c>
      <c r="K33" s="1265"/>
      <c r="L33" s="1264">
        <v>0</v>
      </c>
      <c r="M33" s="1265"/>
      <c r="N33" s="1264">
        <v>0</v>
      </c>
      <c r="O33" s="1265"/>
      <c r="P33" s="1264">
        <v>0</v>
      </c>
      <c r="Q33" s="1265"/>
      <c r="R33" s="1264">
        <v>0</v>
      </c>
      <c r="S33" s="1265"/>
      <c r="T33" s="1264">
        <v>0</v>
      </c>
      <c r="U33" s="1265"/>
      <c r="V33" s="1264">
        <v>0</v>
      </c>
      <c r="W33" s="1265"/>
      <c r="X33" s="1264">
        <v>1977</v>
      </c>
      <c r="Y33" s="1265"/>
      <c r="Z33" s="1264">
        <v>1977</v>
      </c>
      <c r="AA33" s="1265"/>
      <c r="AB33" s="1264">
        <v>1977</v>
      </c>
      <c r="AC33" s="1265"/>
      <c r="AD33" s="1264">
        <v>1977</v>
      </c>
      <c r="AE33" s="1265"/>
      <c r="AF33" s="1264">
        <v>1977</v>
      </c>
      <c r="AG33" s="1265"/>
      <c r="AH33" s="1264">
        <v>1977</v>
      </c>
      <c r="AI33" s="1265"/>
      <c r="AJ33" s="1264">
        <v>1977</v>
      </c>
      <c r="AK33" s="1265"/>
      <c r="AL33" s="1264">
        <v>1977</v>
      </c>
      <c r="AM33" s="1265"/>
      <c r="AN33" s="1264">
        <v>1977</v>
      </c>
      <c r="AO33" s="1265"/>
      <c r="AP33" s="1264">
        <v>1977</v>
      </c>
      <c r="AQ33" s="1265"/>
      <c r="AR33" s="1264">
        <v>0</v>
      </c>
      <c r="AS33" s="1265"/>
      <c r="AT33" s="1264">
        <v>0</v>
      </c>
      <c r="AU33" s="1265"/>
      <c r="AV33" s="1264">
        <v>0</v>
      </c>
      <c r="AW33" s="1265"/>
      <c r="AX33" s="1264">
        <v>0</v>
      </c>
      <c r="AY33" s="1265"/>
      <c r="AZ33" s="1264">
        <v>0</v>
      </c>
      <c r="BA33" s="1265"/>
      <c r="BB33" s="1266">
        <v>0</v>
      </c>
      <c r="BC33" s="635"/>
      <c r="BD33" s="628"/>
      <c r="BE33" s="629"/>
      <c r="BF33" s="629"/>
      <c r="BG33" s="630" t="s">
        <v>378</v>
      </c>
      <c r="BH33" s="629"/>
      <c r="BI33" s="629"/>
      <c r="BJ33" s="1263"/>
      <c r="BK33" s="1264">
        <v>0</v>
      </c>
      <c r="BL33" s="1265"/>
      <c r="BM33" s="1264">
        <v>0</v>
      </c>
      <c r="BN33" s="1265"/>
      <c r="BO33" s="1264">
        <v>0</v>
      </c>
      <c r="BP33" s="1265"/>
      <c r="BQ33" s="1264">
        <v>0</v>
      </c>
      <c r="BR33" s="1265"/>
      <c r="BS33" s="1264">
        <v>0</v>
      </c>
      <c r="BT33" s="1265"/>
      <c r="BU33" s="1264">
        <v>0</v>
      </c>
      <c r="BV33" s="1265"/>
      <c r="BW33" s="1264">
        <v>0</v>
      </c>
      <c r="BX33" s="1265"/>
      <c r="BY33" s="1264">
        <v>0</v>
      </c>
      <c r="BZ33" s="1265"/>
      <c r="CA33" s="1264">
        <v>1977</v>
      </c>
      <c r="CB33" s="1265"/>
      <c r="CC33" s="1264">
        <v>1977</v>
      </c>
      <c r="CD33" s="1265"/>
      <c r="CE33" s="1264">
        <v>1977</v>
      </c>
      <c r="CF33" s="1265"/>
      <c r="CG33" s="1264">
        <v>1977</v>
      </c>
      <c r="CH33" s="1265"/>
      <c r="CI33" s="1264">
        <v>1977</v>
      </c>
      <c r="CJ33" s="1265"/>
      <c r="CK33" s="1264">
        <v>1977</v>
      </c>
      <c r="CL33" s="1265"/>
      <c r="CM33" s="1264">
        <v>1977</v>
      </c>
      <c r="CN33" s="1265"/>
      <c r="CO33" s="1264">
        <v>1977</v>
      </c>
      <c r="CP33" s="1265"/>
      <c r="CQ33" s="1264">
        <v>1977</v>
      </c>
      <c r="CR33" s="1265"/>
      <c r="CS33" s="1264">
        <v>1977</v>
      </c>
      <c r="CT33" s="1265"/>
      <c r="CU33" s="1264">
        <v>0</v>
      </c>
      <c r="CV33" s="1265"/>
      <c r="CW33" s="1264">
        <v>0</v>
      </c>
      <c r="CX33" s="1265"/>
      <c r="CY33" s="1264">
        <v>0</v>
      </c>
      <c r="CZ33" s="1265"/>
      <c r="DA33" s="1264">
        <v>0</v>
      </c>
      <c r="DB33" s="1265"/>
      <c r="DC33" s="1264">
        <v>0</v>
      </c>
      <c r="DD33" s="1265"/>
      <c r="DE33" s="1266">
        <v>0</v>
      </c>
      <c r="DF33" s="635"/>
      <c r="DG33" s="628"/>
      <c r="DH33" s="629"/>
      <c r="DI33" s="629"/>
      <c r="DJ33" s="630" t="s">
        <v>378</v>
      </c>
      <c r="DK33" s="629"/>
      <c r="DL33" s="629"/>
      <c r="DM33" s="1263"/>
      <c r="DN33" s="1264">
        <v>0</v>
      </c>
      <c r="DO33" s="1265"/>
      <c r="DP33" s="1264">
        <v>0</v>
      </c>
      <c r="DQ33" s="1265"/>
      <c r="DR33" s="1264">
        <v>0</v>
      </c>
      <c r="DS33" s="1265"/>
      <c r="DT33" s="1264">
        <v>0</v>
      </c>
      <c r="DU33" s="1265"/>
      <c r="DV33" s="1264">
        <v>0</v>
      </c>
      <c r="DW33" s="1265"/>
      <c r="DX33" s="1264">
        <v>0</v>
      </c>
      <c r="DY33" s="1265"/>
      <c r="DZ33" s="1264">
        <v>0</v>
      </c>
      <c r="EA33" s="1265"/>
      <c r="EB33" s="1264">
        <v>0</v>
      </c>
      <c r="EC33" s="1265"/>
      <c r="ED33" s="1264">
        <v>1977</v>
      </c>
      <c r="EE33" s="1265"/>
      <c r="EF33" s="1264">
        <v>1977</v>
      </c>
      <c r="EG33" s="1265"/>
      <c r="EH33" s="1264">
        <v>1977</v>
      </c>
      <c r="EI33" s="1265"/>
      <c r="EJ33" s="1264">
        <v>1977</v>
      </c>
      <c r="EK33" s="1265"/>
      <c r="EL33" s="1264">
        <v>1977</v>
      </c>
      <c r="EM33" s="1265"/>
      <c r="EN33" s="1264">
        <v>1977</v>
      </c>
      <c r="EO33" s="1265"/>
      <c r="EP33" s="1264">
        <v>1977</v>
      </c>
      <c r="EQ33" s="1265"/>
      <c r="ER33" s="1264">
        <v>1977</v>
      </c>
      <c r="ES33" s="1265"/>
      <c r="ET33" s="1264">
        <v>1977</v>
      </c>
      <c r="EU33" s="1265"/>
      <c r="EV33" s="1264">
        <v>1977</v>
      </c>
      <c r="EW33" s="1265"/>
      <c r="EX33" s="1264">
        <v>0</v>
      </c>
      <c r="EY33" s="1265"/>
      <c r="EZ33" s="1264">
        <v>0</v>
      </c>
      <c r="FA33" s="1265"/>
      <c r="FB33" s="1264">
        <v>0</v>
      </c>
      <c r="FC33" s="1265"/>
      <c r="FD33" s="1264">
        <v>0</v>
      </c>
      <c r="FE33" s="1265"/>
      <c r="FF33" s="1264">
        <v>0</v>
      </c>
      <c r="FG33" s="1265"/>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209</v>
      </c>
      <c r="GV33" s="795"/>
      <c r="GW33" s="796">
        <v>15.81</v>
      </c>
      <c r="GX33" s="797">
        <v>9.09</v>
      </c>
      <c r="GY33" s="797">
        <v>11.04</v>
      </c>
      <c r="GZ33" s="797">
        <v>0</v>
      </c>
      <c r="HA33" s="797">
        <v>35.94</v>
      </c>
      <c r="HB33" s="798">
        <v>35.25</v>
      </c>
      <c r="HC33" s="404"/>
      <c r="HD33" s="635"/>
      <c r="HE33" s="406"/>
      <c r="HF33" s="406"/>
    </row>
    <row r="34" spans="1:219" ht="20.100000000000001" customHeight="1">
      <c r="A34" s="127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7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7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517</v>
      </c>
      <c r="GL34" s="807"/>
      <c r="GM34" s="807"/>
      <c r="GN34" s="807"/>
      <c r="GO34" s="807"/>
      <c r="GP34" s="807"/>
      <c r="GQ34" s="602">
        <v>8.5</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76">
        <v>0</v>
      </c>
      <c r="I36" s="1277"/>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79">
        <v>0</v>
      </c>
      <c r="BC36" s="635"/>
      <c r="BD36" s="811"/>
      <c r="BE36" s="629"/>
      <c r="BF36" s="629"/>
      <c r="BG36" s="630" t="s">
        <v>382</v>
      </c>
      <c r="BH36" s="629"/>
      <c r="BI36" s="629"/>
      <c r="BJ36" s="1275"/>
      <c r="BK36" s="1276">
        <v>0</v>
      </c>
      <c r="BL36" s="1277"/>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79">
        <v>0</v>
      </c>
      <c r="DF36" s="635"/>
      <c r="DG36" s="811"/>
      <c r="DH36" s="629"/>
      <c r="DI36" s="629"/>
      <c r="DJ36" s="630" t="s">
        <v>382</v>
      </c>
      <c r="DK36" s="629"/>
      <c r="DL36" s="629"/>
      <c r="DM36" s="1275"/>
      <c r="DN36" s="1276">
        <v>0</v>
      </c>
      <c r="DO36" s="1277"/>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79">
        <v>0</v>
      </c>
      <c r="FI36" s="636"/>
      <c r="FJ36" s="820"/>
      <c r="FK36" s="629"/>
      <c r="FL36" s="629"/>
      <c r="FM36" s="630" t="s">
        <v>382</v>
      </c>
      <c r="FN36" s="629"/>
      <c r="FO36" s="629"/>
      <c r="FP36" s="1267"/>
      <c r="FQ36" s="1277"/>
      <c r="FR36" s="1276">
        <v>0</v>
      </c>
      <c r="FS36" s="1280"/>
      <c r="FT36" s="1277"/>
      <c r="FU36" s="1281">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35.94</v>
      </c>
      <c r="HB38" s="854">
        <v>35.25</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1.02</v>
      </c>
      <c r="HB39" s="566"/>
      <c r="HC39" s="517"/>
      <c r="HD39" s="549"/>
    </row>
    <row r="40" spans="1:219" ht="20.100000000000001" customHeight="1">
      <c r="A40" s="868"/>
      <c r="B40" s="629"/>
      <c r="C40" s="629"/>
      <c r="D40" s="630" t="s">
        <v>393</v>
      </c>
      <c r="E40" s="629"/>
      <c r="F40" s="629"/>
      <c r="G40" s="1275"/>
      <c r="H40" s="1276">
        <v>0</v>
      </c>
      <c r="I40" s="1277"/>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79">
        <v>0</v>
      </c>
      <c r="BC40" s="635"/>
      <c r="BD40" s="868"/>
      <c r="BE40" s="629"/>
      <c r="BF40" s="629"/>
      <c r="BG40" s="630" t="s">
        <v>393</v>
      </c>
      <c r="BH40" s="629"/>
      <c r="BI40" s="629"/>
      <c r="BJ40" s="1275"/>
      <c r="BK40" s="1276">
        <v>0</v>
      </c>
      <c r="BL40" s="1277"/>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79">
        <v>0</v>
      </c>
      <c r="DF40" s="635"/>
      <c r="DG40" s="868"/>
      <c r="DH40" s="629"/>
      <c r="DI40" s="629"/>
      <c r="DJ40" s="630" t="s">
        <v>393</v>
      </c>
      <c r="DK40" s="629"/>
      <c r="DL40" s="629"/>
      <c r="DM40" s="1275"/>
      <c r="DN40" s="1276">
        <v>0</v>
      </c>
      <c r="DO40" s="1277"/>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79">
        <v>0</v>
      </c>
      <c r="FI40" s="636"/>
      <c r="FJ40" s="820"/>
      <c r="FK40" s="629"/>
      <c r="FL40" s="629"/>
      <c r="FM40" s="630" t="s">
        <v>393</v>
      </c>
      <c r="FN40" s="629"/>
      <c r="FO40" s="629"/>
      <c r="FP40" s="1267"/>
      <c r="FQ40" s="1277"/>
      <c r="FR40" s="1276">
        <v>0</v>
      </c>
      <c r="FS40" s="1280"/>
      <c r="FT40" s="1277"/>
      <c r="FU40" s="1281">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519</v>
      </c>
      <c r="GV40" s="517"/>
      <c r="GW40" s="517"/>
      <c r="GX40" s="517"/>
      <c r="GY40" s="517"/>
      <c r="GZ40" s="517"/>
      <c r="HA40" s="873">
        <v>24.4</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488</v>
      </c>
      <c r="GV41" s="517"/>
      <c r="GW41" s="517"/>
      <c r="GX41" s="517"/>
      <c r="GY41" s="517"/>
      <c r="GZ41" s="517"/>
      <c r="HA41" s="873">
        <v>21.9</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300</v>
      </c>
      <c r="Y42" s="818"/>
      <c r="Z42" s="782">
        <v>180</v>
      </c>
      <c r="AA42" s="818"/>
      <c r="AB42" s="782">
        <v>166</v>
      </c>
      <c r="AC42" s="818"/>
      <c r="AD42" s="782">
        <v>152</v>
      </c>
      <c r="AE42" s="818"/>
      <c r="AF42" s="782">
        <v>141</v>
      </c>
      <c r="AG42" s="818"/>
      <c r="AH42" s="782">
        <v>127</v>
      </c>
      <c r="AI42" s="818"/>
      <c r="AJ42" s="782">
        <v>120</v>
      </c>
      <c r="AK42" s="818"/>
      <c r="AL42" s="782">
        <v>109</v>
      </c>
      <c r="AM42" s="818"/>
      <c r="AN42" s="782">
        <v>99</v>
      </c>
      <c r="AO42" s="818"/>
      <c r="AP42" s="782">
        <v>92</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300</v>
      </c>
      <c r="CB42" s="818"/>
      <c r="CC42" s="782">
        <v>180</v>
      </c>
      <c r="CD42" s="818"/>
      <c r="CE42" s="782">
        <v>166</v>
      </c>
      <c r="CF42" s="818"/>
      <c r="CG42" s="782">
        <v>152</v>
      </c>
      <c r="CH42" s="818"/>
      <c r="CI42" s="782">
        <v>141</v>
      </c>
      <c r="CJ42" s="818"/>
      <c r="CK42" s="782">
        <v>127</v>
      </c>
      <c r="CL42" s="818"/>
      <c r="CM42" s="782">
        <v>120</v>
      </c>
      <c r="CN42" s="818"/>
      <c r="CO42" s="782">
        <v>109</v>
      </c>
      <c r="CP42" s="818"/>
      <c r="CQ42" s="782">
        <v>99</v>
      </c>
      <c r="CR42" s="818"/>
      <c r="CS42" s="782">
        <v>92</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300</v>
      </c>
      <c r="EE42" s="818"/>
      <c r="EF42" s="782">
        <v>180</v>
      </c>
      <c r="EG42" s="818"/>
      <c r="EH42" s="782">
        <v>166</v>
      </c>
      <c r="EI42" s="818"/>
      <c r="EJ42" s="782">
        <v>152</v>
      </c>
      <c r="EK42" s="818"/>
      <c r="EL42" s="782">
        <v>141</v>
      </c>
      <c r="EM42" s="818"/>
      <c r="EN42" s="782">
        <v>127</v>
      </c>
      <c r="EO42" s="818"/>
      <c r="EP42" s="782">
        <v>120</v>
      </c>
      <c r="EQ42" s="818"/>
      <c r="ER42" s="782">
        <v>109</v>
      </c>
      <c r="ES42" s="818"/>
      <c r="ET42" s="782">
        <v>99</v>
      </c>
      <c r="EU42" s="818"/>
      <c r="EV42" s="782">
        <v>92</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25</v>
      </c>
      <c r="FS42" s="822"/>
      <c r="FT42" s="817"/>
      <c r="FU42" s="788">
        <v>25</v>
      </c>
      <c r="FV42" s="580"/>
      <c r="FW42" s="581"/>
      <c r="FX42" s="789"/>
      <c r="FY42" s="583"/>
      <c r="FZ42" s="790"/>
      <c r="GA42" s="585"/>
      <c r="GB42" s="791"/>
      <c r="GC42" s="587"/>
      <c r="GD42" s="791"/>
      <c r="GE42" s="588"/>
      <c r="GF42" s="823"/>
      <c r="GG42" s="589"/>
      <c r="GH42" s="589"/>
      <c r="GI42" s="589"/>
      <c r="GJ42" s="400"/>
      <c r="GK42" s="887"/>
      <c r="GL42" s="888"/>
      <c r="GM42" s="889">
        <v>8.5</v>
      </c>
      <c r="GN42" s="889"/>
      <c r="GO42" s="889">
        <v>0</v>
      </c>
      <c r="GP42" s="889"/>
      <c r="GQ42" s="889">
        <v>8.5</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76">
        <v>0</v>
      </c>
      <c r="I44" s="1277"/>
      <c r="J44" s="827">
        <v>0</v>
      </c>
      <c r="K44" s="1278"/>
      <c r="L44" s="827">
        <v>0</v>
      </c>
      <c r="M44" s="1278"/>
      <c r="N44" s="827">
        <v>0</v>
      </c>
      <c r="O44" s="1278"/>
      <c r="P44" s="827">
        <v>0</v>
      </c>
      <c r="Q44" s="1278"/>
      <c r="R44" s="827">
        <v>0</v>
      </c>
      <c r="S44" s="1278"/>
      <c r="T44" s="827">
        <v>0</v>
      </c>
      <c r="U44" s="1278"/>
      <c r="V44" s="827">
        <v>0</v>
      </c>
      <c r="W44" s="1278"/>
      <c r="X44" s="827">
        <v>300</v>
      </c>
      <c r="Y44" s="1278"/>
      <c r="Z44" s="827">
        <v>180</v>
      </c>
      <c r="AA44" s="1278"/>
      <c r="AB44" s="827">
        <v>166</v>
      </c>
      <c r="AC44" s="1278"/>
      <c r="AD44" s="827">
        <v>152</v>
      </c>
      <c r="AE44" s="1278"/>
      <c r="AF44" s="827">
        <v>141</v>
      </c>
      <c r="AG44" s="1278"/>
      <c r="AH44" s="827">
        <v>127</v>
      </c>
      <c r="AI44" s="1278"/>
      <c r="AJ44" s="827">
        <v>120</v>
      </c>
      <c r="AK44" s="1278"/>
      <c r="AL44" s="827">
        <v>109</v>
      </c>
      <c r="AM44" s="1278"/>
      <c r="AN44" s="827">
        <v>99</v>
      </c>
      <c r="AO44" s="1278"/>
      <c r="AP44" s="827">
        <v>92</v>
      </c>
      <c r="AQ44" s="1278"/>
      <c r="AR44" s="827">
        <v>0</v>
      </c>
      <c r="AS44" s="1278"/>
      <c r="AT44" s="827">
        <v>0</v>
      </c>
      <c r="AU44" s="1278"/>
      <c r="AV44" s="827">
        <v>0</v>
      </c>
      <c r="AW44" s="1278"/>
      <c r="AX44" s="827">
        <v>0</v>
      </c>
      <c r="AY44" s="1278"/>
      <c r="AZ44" s="827">
        <v>0</v>
      </c>
      <c r="BA44" s="1278"/>
      <c r="BB44" s="1279">
        <v>0</v>
      </c>
      <c r="BC44" s="635"/>
      <c r="BD44" s="912"/>
      <c r="BE44" s="629"/>
      <c r="BF44" s="629"/>
      <c r="BG44" s="630" t="s">
        <v>397</v>
      </c>
      <c r="BH44" s="629"/>
      <c r="BI44" s="629"/>
      <c r="BJ44" s="1275"/>
      <c r="BK44" s="1276">
        <v>0</v>
      </c>
      <c r="BL44" s="1277"/>
      <c r="BM44" s="827">
        <v>0</v>
      </c>
      <c r="BN44" s="1278"/>
      <c r="BO44" s="827">
        <v>0</v>
      </c>
      <c r="BP44" s="1278"/>
      <c r="BQ44" s="827">
        <v>0</v>
      </c>
      <c r="BR44" s="1278"/>
      <c r="BS44" s="827">
        <v>0</v>
      </c>
      <c r="BT44" s="1278"/>
      <c r="BU44" s="827">
        <v>0</v>
      </c>
      <c r="BV44" s="1278"/>
      <c r="BW44" s="827">
        <v>0</v>
      </c>
      <c r="BX44" s="1278"/>
      <c r="BY44" s="827">
        <v>0</v>
      </c>
      <c r="BZ44" s="1278"/>
      <c r="CA44" s="827">
        <v>300</v>
      </c>
      <c r="CB44" s="1278"/>
      <c r="CC44" s="827">
        <v>180</v>
      </c>
      <c r="CD44" s="1278"/>
      <c r="CE44" s="827">
        <v>166</v>
      </c>
      <c r="CF44" s="1278"/>
      <c r="CG44" s="827">
        <v>152</v>
      </c>
      <c r="CH44" s="1278"/>
      <c r="CI44" s="827">
        <v>141</v>
      </c>
      <c r="CJ44" s="1278"/>
      <c r="CK44" s="827">
        <v>127</v>
      </c>
      <c r="CL44" s="1278"/>
      <c r="CM44" s="827">
        <v>120</v>
      </c>
      <c r="CN44" s="1278"/>
      <c r="CO44" s="827">
        <v>109</v>
      </c>
      <c r="CP44" s="1278"/>
      <c r="CQ44" s="827">
        <v>99</v>
      </c>
      <c r="CR44" s="1278"/>
      <c r="CS44" s="827">
        <v>92</v>
      </c>
      <c r="CT44" s="1278"/>
      <c r="CU44" s="827">
        <v>0</v>
      </c>
      <c r="CV44" s="1278"/>
      <c r="CW44" s="827">
        <v>0</v>
      </c>
      <c r="CX44" s="1278"/>
      <c r="CY44" s="827">
        <v>0</v>
      </c>
      <c r="CZ44" s="1278"/>
      <c r="DA44" s="827">
        <v>0</v>
      </c>
      <c r="DB44" s="1278"/>
      <c r="DC44" s="827">
        <v>0</v>
      </c>
      <c r="DD44" s="1278"/>
      <c r="DE44" s="1279">
        <v>0</v>
      </c>
      <c r="DF44" s="635"/>
      <c r="DG44" s="912"/>
      <c r="DH44" s="629"/>
      <c r="DI44" s="629"/>
      <c r="DJ44" s="630" t="s">
        <v>397</v>
      </c>
      <c r="DK44" s="629"/>
      <c r="DL44" s="629"/>
      <c r="DM44" s="1275"/>
      <c r="DN44" s="1276">
        <v>0</v>
      </c>
      <c r="DO44" s="1277"/>
      <c r="DP44" s="827">
        <v>0</v>
      </c>
      <c r="DQ44" s="1278"/>
      <c r="DR44" s="827">
        <v>0</v>
      </c>
      <c r="DS44" s="1278"/>
      <c r="DT44" s="827">
        <v>0</v>
      </c>
      <c r="DU44" s="1278"/>
      <c r="DV44" s="827">
        <v>0</v>
      </c>
      <c r="DW44" s="1278"/>
      <c r="DX44" s="827">
        <v>0</v>
      </c>
      <c r="DY44" s="1278"/>
      <c r="DZ44" s="827">
        <v>0</v>
      </c>
      <c r="EA44" s="1278"/>
      <c r="EB44" s="827">
        <v>0</v>
      </c>
      <c r="EC44" s="1278"/>
      <c r="ED44" s="827">
        <v>300</v>
      </c>
      <c r="EE44" s="1278"/>
      <c r="EF44" s="827">
        <v>180</v>
      </c>
      <c r="EG44" s="1278"/>
      <c r="EH44" s="827">
        <v>166</v>
      </c>
      <c r="EI44" s="1278"/>
      <c r="EJ44" s="827">
        <v>152</v>
      </c>
      <c r="EK44" s="1278"/>
      <c r="EL44" s="827">
        <v>141</v>
      </c>
      <c r="EM44" s="1278"/>
      <c r="EN44" s="827">
        <v>127</v>
      </c>
      <c r="EO44" s="1278"/>
      <c r="EP44" s="827">
        <v>120</v>
      </c>
      <c r="EQ44" s="1278"/>
      <c r="ER44" s="827">
        <v>109</v>
      </c>
      <c r="ES44" s="1278"/>
      <c r="ET44" s="827">
        <v>99</v>
      </c>
      <c r="EU44" s="1278"/>
      <c r="EV44" s="827">
        <v>92</v>
      </c>
      <c r="EW44" s="1278"/>
      <c r="EX44" s="827">
        <v>0</v>
      </c>
      <c r="EY44" s="1278"/>
      <c r="EZ44" s="827">
        <v>0</v>
      </c>
      <c r="FA44" s="1278"/>
      <c r="FB44" s="827">
        <v>0</v>
      </c>
      <c r="FC44" s="1278"/>
      <c r="FD44" s="827">
        <v>0</v>
      </c>
      <c r="FE44" s="1278"/>
      <c r="FF44" s="827">
        <v>0</v>
      </c>
      <c r="FG44" s="1278"/>
      <c r="FH44" s="1279">
        <v>0</v>
      </c>
      <c r="FI44" s="636"/>
      <c r="FJ44" s="913"/>
      <c r="FK44" s="629"/>
      <c r="FL44" s="629"/>
      <c r="FM44" s="630" t="s">
        <v>397</v>
      </c>
      <c r="FN44" s="629"/>
      <c r="FO44" s="629"/>
      <c r="FP44" s="1267"/>
      <c r="FQ44" s="1277"/>
      <c r="FR44" s="1276">
        <v>25</v>
      </c>
      <c r="FS44" s="1280"/>
      <c r="FT44" s="1277"/>
      <c r="FU44" s="1281">
        <v>25</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5.5</v>
      </c>
      <c r="GN44" s="914"/>
      <c r="GO44" s="914">
        <v>0</v>
      </c>
      <c r="GP44" s="914"/>
      <c r="GQ44" s="889">
        <v>5.5</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2567</v>
      </c>
      <c r="Y45" s="923"/>
      <c r="Z45" s="922">
        <v>2497</v>
      </c>
      <c r="AA45" s="923"/>
      <c r="AB45" s="922">
        <v>2517</v>
      </c>
      <c r="AC45" s="923"/>
      <c r="AD45" s="922">
        <v>2522</v>
      </c>
      <c r="AE45" s="923"/>
      <c r="AF45" s="922">
        <v>2522</v>
      </c>
      <c r="AG45" s="923"/>
      <c r="AH45" s="922">
        <v>2509</v>
      </c>
      <c r="AI45" s="923"/>
      <c r="AJ45" s="922">
        <v>2471</v>
      </c>
      <c r="AK45" s="923"/>
      <c r="AL45" s="922">
        <v>2417</v>
      </c>
      <c r="AM45" s="923"/>
      <c r="AN45" s="922">
        <v>2383</v>
      </c>
      <c r="AO45" s="923"/>
      <c r="AP45" s="922">
        <v>2280</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2508</v>
      </c>
      <c r="CB45" s="923"/>
      <c r="CC45" s="922">
        <v>2420</v>
      </c>
      <c r="CD45" s="923"/>
      <c r="CE45" s="922">
        <v>2431</v>
      </c>
      <c r="CF45" s="923"/>
      <c r="CG45" s="922">
        <v>2429</v>
      </c>
      <c r="CH45" s="923"/>
      <c r="CI45" s="922">
        <v>2442</v>
      </c>
      <c r="CJ45" s="923"/>
      <c r="CK45" s="922">
        <v>2430</v>
      </c>
      <c r="CL45" s="923"/>
      <c r="CM45" s="922">
        <v>2412</v>
      </c>
      <c r="CN45" s="923"/>
      <c r="CO45" s="922">
        <v>2367</v>
      </c>
      <c r="CP45" s="923"/>
      <c r="CQ45" s="922">
        <v>2438</v>
      </c>
      <c r="CR45" s="923"/>
      <c r="CS45" s="922">
        <v>2385</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2417</v>
      </c>
      <c r="EE45" s="923"/>
      <c r="EF45" s="922">
        <v>2334</v>
      </c>
      <c r="EG45" s="923"/>
      <c r="EH45" s="922">
        <v>2346</v>
      </c>
      <c r="EI45" s="923"/>
      <c r="EJ45" s="922">
        <v>2352</v>
      </c>
      <c r="EK45" s="923"/>
      <c r="EL45" s="922">
        <v>2354</v>
      </c>
      <c r="EM45" s="923"/>
      <c r="EN45" s="922">
        <v>2337</v>
      </c>
      <c r="EO45" s="923"/>
      <c r="EP45" s="922">
        <v>2315</v>
      </c>
      <c r="EQ45" s="923"/>
      <c r="ER45" s="922">
        <v>2273</v>
      </c>
      <c r="ES45" s="923"/>
      <c r="ET45" s="922">
        <v>2195</v>
      </c>
      <c r="EU45" s="923"/>
      <c r="EV45" s="922">
        <v>2125</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637</v>
      </c>
      <c r="FS45" s="927"/>
      <c r="FT45" s="926"/>
      <c r="FU45" s="928">
        <v>652</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399</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399</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516</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656</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2695</v>
      </c>
      <c r="Y47" s="955"/>
      <c r="Z47" s="954">
        <v>2622</v>
      </c>
      <c r="AA47" s="955"/>
      <c r="AB47" s="954">
        <v>2643</v>
      </c>
      <c r="AC47" s="955"/>
      <c r="AD47" s="954">
        <v>2648</v>
      </c>
      <c r="AE47" s="955"/>
      <c r="AF47" s="954">
        <v>2648</v>
      </c>
      <c r="AG47" s="955"/>
      <c r="AH47" s="954">
        <v>2634</v>
      </c>
      <c r="AI47" s="955"/>
      <c r="AJ47" s="954">
        <v>2595</v>
      </c>
      <c r="AK47" s="955"/>
      <c r="AL47" s="954">
        <v>2538</v>
      </c>
      <c r="AM47" s="955"/>
      <c r="AN47" s="954">
        <v>2502</v>
      </c>
      <c r="AO47" s="955"/>
      <c r="AP47" s="954">
        <v>2394</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2633</v>
      </c>
      <c r="CB47" s="955"/>
      <c r="CC47" s="954">
        <v>2541</v>
      </c>
      <c r="CD47" s="955"/>
      <c r="CE47" s="954">
        <v>2553</v>
      </c>
      <c r="CF47" s="955"/>
      <c r="CG47" s="954">
        <v>2550</v>
      </c>
      <c r="CH47" s="955"/>
      <c r="CI47" s="954">
        <v>2564</v>
      </c>
      <c r="CJ47" s="955"/>
      <c r="CK47" s="954">
        <v>2552</v>
      </c>
      <c r="CL47" s="955"/>
      <c r="CM47" s="954">
        <v>2533</v>
      </c>
      <c r="CN47" s="955"/>
      <c r="CO47" s="954">
        <v>2485</v>
      </c>
      <c r="CP47" s="955"/>
      <c r="CQ47" s="954">
        <v>2560</v>
      </c>
      <c r="CR47" s="955"/>
      <c r="CS47" s="954">
        <v>2504</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2538</v>
      </c>
      <c r="EE47" s="955"/>
      <c r="EF47" s="954">
        <v>2451</v>
      </c>
      <c r="EG47" s="955"/>
      <c r="EH47" s="954">
        <v>2463</v>
      </c>
      <c r="EI47" s="955"/>
      <c r="EJ47" s="954">
        <v>2470</v>
      </c>
      <c r="EK47" s="955"/>
      <c r="EL47" s="954">
        <v>2472</v>
      </c>
      <c r="EM47" s="955"/>
      <c r="EN47" s="954">
        <v>2454</v>
      </c>
      <c r="EO47" s="955"/>
      <c r="EP47" s="954">
        <v>2431</v>
      </c>
      <c r="EQ47" s="955"/>
      <c r="ER47" s="954">
        <v>2387</v>
      </c>
      <c r="ES47" s="955"/>
      <c r="ET47" s="954">
        <v>2305</v>
      </c>
      <c r="EU47" s="955"/>
      <c r="EV47" s="954">
        <v>2231</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637</v>
      </c>
      <c r="FS47" s="963"/>
      <c r="FT47" s="962"/>
      <c r="FU47" s="964">
        <v>652</v>
      </c>
      <c r="FV47" s="965">
        <v>9</v>
      </c>
      <c r="FW47" s="954">
        <v>2695</v>
      </c>
      <c r="FX47" s="966">
        <v>9</v>
      </c>
      <c r="FY47" s="954">
        <v>2633</v>
      </c>
      <c r="FZ47" s="966">
        <v>9</v>
      </c>
      <c r="GA47" s="954">
        <v>2538</v>
      </c>
      <c r="GB47" s="967" t="s">
        <v>542</v>
      </c>
      <c r="GC47" s="954">
        <v>2695</v>
      </c>
      <c r="GD47" s="967" t="s">
        <v>332</v>
      </c>
      <c r="GE47" s="968">
        <v>652</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v>62</v>
      </c>
      <c r="E49" s="738">
        <v>18</v>
      </c>
      <c r="F49" s="982" t="s">
        <v>373</v>
      </c>
      <c r="G49" s="740"/>
      <c r="H49" s="546"/>
      <c r="I49" s="741"/>
      <c r="J49" s="546"/>
      <c r="K49" s="741"/>
      <c r="L49" s="546"/>
      <c r="M49" s="741"/>
      <c r="N49" s="546"/>
      <c r="O49" s="741"/>
      <c r="P49" s="546"/>
      <c r="Q49" s="741"/>
      <c r="R49" s="546"/>
      <c r="S49" s="741"/>
      <c r="T49" s="546"/>
      <c r="U49" s="741"/>
      <c r="V49" s="546"/>
      <c r="W49" s="741">
        <v>1</v>
      </c>
      <c r="X49" s="546">
        <v>1116</v>
      </c>
      <c r="Y49" s="741">
        <v>1</v>
      </c>
      <c r="Z49" s="546">
        <v>1116</v>
      </c>
      <c r="AA49" s="741">
        <v>1</v>
      </c>
      <c r="AB49" s="546">
        <v>1116</v>
      </c>
      <c r="AC49" s="741">
        <v>1</v>
      </c>
      <c r="AD49" s="546">
        <v>1116</v>
      </c>
      <c r="AE49" s="741">
        <v>1</v>
      </c>
      <c r="AF49" s="546">
        <v>1116</v>
      </c>
      <c r="AG49" s="741">
        <v>1</v>
      </c>
      <c r="AH49" s="546">
        <v>1116</v>
      </c>
      <c r="AI49" s="741">
        <v>1</v>
      </c>
      <c r="AJ49" s="546">
        <v>1116</v>
      </c>
      <c r="AK49" s="741">
        <v>1</v>
      </c>
      <c r="AL49" s="546">
        <v>1116</v>
      </c>
      <c r="AM49" s="741">
        <v>1</v>
      </c>
      <c r="AN49" s="546">
        <v>1116</v>
      </c>
      <c r="AO49" s="741">
        <v>1</v>
      </c>
      <c r="AP49" s="546">
        <v>1116</v>
      </c>
      <c r="AQ49" s="741"/>
      <c r="AR49" s="546"/>
      <c r="AS49" s="741"/>
      <c r="AT49" s="546"/>
      <c r="AU49" s="741"/>
      <c r="AV49" s="546"/>
      <c r="AW49" s="741"/>
      <c r="AX49" s="546"/>
      <c r="AY49" s="983"/>
      <c r="AZ49" s="984"/>
      <c r="BA49" s="985"/>
      <c r="BB49" s="986"/>
      <c r="BC49" s="917"/>
      <c r="BD49" s="980"/>
      <c r="BE49" s="735" t="s">
        <v>372</v>
      </c>
      <c r="BF49" s="981"/>
      <c r="BG49" s="737"/>
      <c r="BH49" s="738">
        <v>18</v>
      </c>
      <c r="BI49" s="982" t="s">
        <v>373</v>
      </c>
      <c r="BJ49" s="740"/>
      <c r="BK49" s="546"/>
      <c r="BL49" s="741"/>
      <c r="BM49" s="546"/>
      <c r="BN49" s="741"/>
      <c r="BO49" s="546"/>
      <c r="BP49" s="741"/>
      <c r="BQ49" s="546"/>
      <c r="BR49" s="741"/>
      <c r="BS49" s="546"/>
      <c r="BT49" s="741"/>
      <c r="BU49" s="546"/>
      <c r="BV49" s="741"/>
      <c r="BW49" s="546"/>
      <c r="BX49" s="741"/>
      <c r="BY49" s="546"/>
      <c r="BZ49" s="741">
        <v>1</v>
      </c>
      <c r="CA49" s="546">
        <v>1116</v>
      </c>
      <c r="CB49" s="741">
        <v>1</v>
      </c>
      <c r="CC49" s="546">
        <v>1116</v>
      </c>
      <c r="CD49" s="741">
        <v>1</v>
      </c>
      <c r="CE49" s="546">
        <v>1116</v>
      </c>
      <c r="CF49" s="741">
        <v>1</v>
      </c>
      <c r="CG49" s="546">
        <v>1116</v>
      </c>
      <c r="CH49" s="741">
        <v>1</v>
      </c>
      <c r="CI49" s="546">
        <v>1116</v>
      </c>
      <c r="CJ49" s="741">
        <v>1</v>
      </c>
      <c r="CK49" s="546">
        <v>1116</v>
      </c>
      <c r="CL49" s="741">
        <v>1</v>
      </c>
      <c r="CM49" s="546">
        <v>1116</v>
      </c>
      <c r="CN49" s="741">
        <v>1</v>
      </c>
      <c r="CO49" s="546">
        <v>1116</v>
      </c>
      <c r="CP49" s="741">
        <v>1</v>
      </c>
      <c r="CQ49" s="546">
        <v>1116</v>
      </c>
      <c r="CR49" s="741">
        <v>1</v>
      </c>
      <c r="CS49" s="546">
        <v>1116</v>
      </c>
      <c r="CT49" s="741"/>
      <c r="CU49" s="546"/>
      <c r="CV49" s="741"/>
      <c r="CW49" s="546"/>
      <c r="CX49" s="741"/>
      <c r="CY49" s="546"/>
      <c r="CZ49" s="741"/>
      <c r="DA49" s="546"/>
      <c r="DB49" s="983"/>
      <c r="DC49" s="984"/>
      <c r="DD49" s="985"/>
      <c r="DE49" s="986"/>
      <c r="DF49" s="917"/>
      <c r="DG49" s="980"/>
      <c r="DH49" s="735" t="s">
        <v>372</v>
      </c>
      <c r="DI49" s="981"/>
      <c r="DJ49" s="737"/>
      <c r="DK49" s="738">
        <v>18</v>
      </c>
      <c r="DL49" s="982" t="s">
        <v>373</v>
      </c>
      <c r="DM49" s="740"/>
      <c r="DN49" s="546"/>
      <c r="DO49" s="741"/>
      <c r="DP49" s="546"/>
      <c r="DQ49" s="741"/>
      <c r="DR49" s="546"/>
      <c r="DS49" s="741"/>
      <c r="DT49" s="546"/>
      <c r="DU49" s="741"/>
      <c r="DV49" s="546"/>
      <c r="DW49" s="741"/>
      <c r="DX49" s="546"/>
      <c r="DY49" s="741"/>
      <c r="DZ49" s="546"/>
      <c r="EA49" s="741"/>
      <c r="EB49" s="546"/>
      <c r="EC49" s="741">
        <v>1</v>
      </c>
      <c r="ED49" s="546">
        <v>1116</v>
      </c>
      <c r="EE49" s="741">
        <v>1</v>
      </c>
      <c r="EF49" s="546">
        <v>1116</v>
      </c>
      <c r="EG49" s="741">
        <v>1</v>
      </c>
      <c r="EH49" s="546">
        <v>1116</v>
      </c>
      <c r="EI49" s="741">
        <v>1</v>
      </c>
      <c r="EJ49" s="546">
        <v>1116</v>
      </c>
      <c r="EK49" s="741">
        <v>1</v>
      </c>
      <c r="EL49" s="546">
        <v>1116</v>
      </c>
      <c r="EM49" s="741">
        <v>1</v>
      </c>
      <c r="EN49" s="546">
        <v>1116</v>
      </c>
      <c r="EO49" s="741">
        <v>1</v>
      </c>
      <c r="EP49" s="546">
        <v>1116</v>
      </c>
      <c r="EQ49" s="741">
        <v>1</v>
      </c>
      <c r="ER49" s="546">
        <v>1116</v>
      </c>
      <c r="ES49" s="741">
        <v>1</v>
      </c>
      <c r="ET49" s="546">
        <v>1116</v>
      </c>
      <c r="EU49" s="741">
        <v>1</v>
      </c>
      <c r="EV49" s="546">
        <v>1116</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669</v>
      </c>
      <c r="GV50" s="567"/>
      <c r="GW50" s="567"/>
      <c r="GX50" s="567"/>
      <c r="GY50" s="602"/>
      <c r="GZ50" s="566"/>
      <c r="HA50" s="602">
        <v>0.7</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0.7</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1116</v>
      </c>
      <c r="Y52" s="1038"/>
      <c r="Z52" s="1037">
        <v>1116</v>
      </c>
      <c r="AA52" s="1038"/>
      <c r="AB52" s="1037">
        <v>1116</v>
      </c>
      <c r="AC52" s="1038"/>
      <c r="AD52" s="1037">
        <v>1116</v>
      </c>
      <c r="AE52" s="1038"/>
      <c r="AF52" s="1037">
        <v>1116</v>
      </c>
      <c r="AG52" s="1038"/>
      <c r="AH52" s="1037">
        <v>1116</v>
      </c>
      <c r="AI52" s="1038"/>
      <c r="AJ52" s="1037">
        <v>1116</v>
      </c>
      <c r="AK52" s="1038"/>
      <c r="AL52" s="1037">
        <v>1116</v>
      </c>
      <c r="AM52" s="1038"/>
      <c r="AN52" s="1037">
        <v>1116</v>
      </c>
      <c r="AO52" s="1038"/>
      <c r="AP52" s="1037">
        <v>1116</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1116</v>
      </c>
      <c r="CB52" s="1038"/>
      <c r="CC52" s="1037">
        <v>1116</v>
      </c>
      <c r="CD52" s="1038"/>
      <c r="CE52" s="1037">
        <v>1116</v>
      </c>
      <c r="CF52" s="1038"/>
      <c r="CG52" s="1037">
        <v>1116</v>
      </c>
      <c r="CH52" s="1038"/>
      <c r="CI52" s="1037">
        <v>1116</v>
      </c>
      <c r="CJ52" s="1038"/>
      <c r="CK52" s="1037">
        <v>1116</v>
      </c>
      <c r="CL52" s="1038"/>
      <c r="CM52" s="1037">
        <v>1116</v>
      </c>
      <c r="CN52" s="1038"/>
      <c r="CO52" s="1037">
        <v>1116</v>
      </c>
      <c r="CP52" s="1038"/>
      <c r="CQ52" s="1037">
        <v>1116</v>
      </c>
      <c r="CR52" s="1038"/>
      <c r="CS52" s="1037">
        <v>1116</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1116</v>
      </c>
      <c r="EE52" s="1038"/>
      <c r="EF52" s="1037">
        <v>1116</v>
      </c>
      <c r="EG52" s="1038"/>
      <c r="EH52" s="1037">
        <v>1116</v>
      </c>
      <c r="EI52" s="1038"/>
      <c r="EJ52" s="1037">
        <v>1116</v>
      </c>
      <c r="EK52" s="1038"/>
      <c r="EL52" s="1037">
        <v>1116</v>
      </c>
      <c r="EM52" s="1038"/>
      <c r="EN52" s="1037">
        <v>1116</v>
      </c>
      <c r="EO52" s="1038"/>
      <c r="EP52" s="1037">
        <v>1116</v>
      </c>
      <c r="EQ52" s="1038"/>
      <c r="ER52" s="1037">
        <v>1116</v>
      </c>
      <c r="ES52" s="1038"/>
      <c r="ET52" s="1037">
        <v>1116</v>
      </c>
      <c r="EU52" s="1038"/>
      <c r="EV52" s="1037">
        <v>1116</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9</v>
      </c>
      <c r="FW52" s="1048">
        <v>1116</v>
      </c>
      <c r="FX52" s="1049">
        <v>9</v>
      </c>
      <c r="FY52" s="1048">
        <v>1116</v>
      </c>
      <c r="FZ52" s="1049">
        <v>9</v>
      </c>
      <c r="GA52" s="1048">
        <v>1116</v>
      </c>
      <c r="GB52" s="1050" t="s">
        <v>542</v>
      </c>
      <c r="GC52" s="1051">
        <v>1116</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3811</v>
      </c>
      <c r="Y53" s="1065"/>
      <c r="Z53" s="1064">
        <v>3738</v>
      </c>
      <c r="AA53" s="1065"/>
      <c r="AB53" s="1064">
        <v>3759</v>
      </c>
      <c r="AC53" s="1065"/>
      <c r="AD53" s="1064">
        <v>3764</v>
      </c>
      <c r="AE53" s="1065"/>
      <c r="AF53" s="1064">
        <v>3764</v>
      </c>
      <c r="AG53" s="1065"/>
      <c r="AH53" s="1064">
        <v>3750</v>
      </c>
      <c r="AI53" s="1065"/>
      <c r="AJ53" s="1064">
        <v>3711</v>
      </c>
      <c r="AK53" s="1065"/>
      <c r="AL53" s="1064">
        <v>3654</v>
      </c>
      <c r="AM53" s="1065"/>
      <c r="AN53" s="1064">
        <v>3618</v>
      </c>
      <c r="AO53" s="1065"/>
      <c r="AP53" s="1064">
        <v>3510</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3749</v>
      </c>
      <c r="CB53" s="1065"/>
      <c r="CC53" s="1064">
        <v>3657</v>
      </c>
      <c r="CD53" s="1065"/>
      <c r="CE53" s="1064">
        <v>3669</v>
      </c>
      <c r="CF53" s="1065"/>
      <c r="CG53" s="1064">
        <v>3666</v>
      </c>
      <c r="CH53" s="1065"/>
      <c r="CI53" s="1064">
        <v>3680</v>
      </c>
      <c r="CJ53" s="1065"/>
      <c r="CK53" s="1064">
        <v>3668</v>
      </c>
      <c r="CL53" s="1065"/>
      <c r="CM53" s="1064">
        <v>3649</v>
      </c>
      <c r="CN53" s="1065"/>
      <c r="CO53" s="1064">
        <v>3601</v>
      </c>
      <c r="CP53" s="1065"/>
      <c r="CQ53" s="1064">
        <v>3676</v>
      </c>
      <c r="CR53" s="1065"/>
      <c r="CS53" s="1064">
        <v>3620</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3654</v>
      </c>
      <c r="EE53" s="1065"/>
      <c r="EF53" s="1064">
        <v>3567</v>
      </c>
      <c r="EG53" s="1065"/>
      <c r="EH53" s="1064">
        <v>3579</v>
      </c>
      <c r="EI53" s="1065"/>
      <c r="EJ53" s="1064">
        <v>3586</v>
      </c>
      <c r="EK53" s="1065"/>
      <c r="EL53" s="1064">
        <v>3588</v>
      </c>
      <c r="EM53" s="1065"/>
      <c r="EN53" s="1064">
        <v>3570</v>
      </c>
      <c r="EO53" s="1065"/>
      <c r="EP53" s="1064">
        <v>3547</v>
      </c>
      <c r="EQ53" s="1065"/>
      <c r="ER53" s="1064">
        <v>3503</v>
      </c>
      <c r="ES53" s="1065"/>
      <c r="ET53" s="1064">
        <v>3421</v>
      </c>
      <c r="EU53" s="1065"/>
      <c r="EV53" s="1064">
        <v>3347</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637</v>
      </c>
      <c r="FS53" s="1072"/>
      <c r="FT53" s="1071"/>
      <c r="FU53" s="1073">
        <v>652</v>
      </c>
      <c r="FV53" s="1074">
        <v>9</v>
      </c>
      <c r="FW53" s="1075">
        <v>3811</v>
      </c>
      <c r="FX53" s="1076">
        <v>9</v>
      </c>
      <c r="FY53" s="1075">
        <v>3749</v>
      </c>
      <c r="FZ53" s="1076">
        <v>9</v>
      </c>
      <c r="GA53" s="1075">
        <v>3654</v>
      </c>
      <c r="GB53" s="1077" t="s">
        <v>542</v>
      </c>
      <c r="GC53" s="1075">
        <v>3811</v>
      </c>
      <c r="GD53" s="1077" t="s">
        <v>332</v>
      </c>
      <c r="GE53" s="1078">
        <v>652</v>
      </c>
      <c r="GF53" s="671"/>
      <c r="GG53" s="969"/>
      <c r="GH53" s="969"/>
      <c r="GI53" s="969"/>
      <c r="GJ53" s="932"/>
      <c r="GK53" s="404"/>
      <c r="GL53" s="1079">
        <v>10</v>
      </c>
      <c r="GM53" s="1080">
        <v>1</v>
      </c>
      <c r="GN53" s="1081">
        <v>0.92</v>
      </c>
      <c r="GO53" s="1082">
        <v>5.0999999999999996</v>
      </c>
      <c r="GP53" s="1082">
        <v>0</v>
      </c>
      <c r="GQ53" s="1083">
        <v>5.0999999999999996</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108.1</v>
      </c>
      <c r="Y54" s="1092"/>
      <c r="Z54" s="1091">
        <v>106</v>
      </c>
      <c r="AA54" s="1092"/>
      <c r="AB54" s="1091">
        <v>106.6</v>
      </c>
      <c r="AC54" s="1092"/>
      <c r="AD54" s="1091">
        <v>106.8</v>
      </c>
      <c r="AE54" s="1092"/>
      <c r="AF54" s="1091">
        <v>106.8</v>
      </c>
      <c r="AG54" s="1092"/>
      <c r="AH54" s="1091">
        <v>106.4</v>
      </c>
      <c r="AI54" s="1092"/>
      <c r="AJ54" s="1091">
        <v>105.3</v>
      </c>
      <c r="AK54" s="1092"/>
      <c r="AL54" s="1091">
        <v>103.7</v>
      </c>
      <c r="AM54" s="1092"/>
      <c r="AN54" s="1091">
        <v>102.6</v>
      </c>
      <c r="AO54" s="1092"/>
      <c r="AP54" s="1091">
        <v>99.6</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106.4</v>
      </c>
      <c r="CB54" s="1092"/>
      <c r="CC54" s="1091">
        <v>103.7</v>
      </c>
      <c r="CD54" s="1092"/>
      <c r="CE54" s="1091">
        <v>104.1</v>
      </c>
      <c r="CF54" s="1092"/>
      <c r="CG54" s="1091">
        <v>104</v>
      </c>
      <c r="CH54" s="1092"/>
      <c r="CI54" s="1091">
        <v>104.4</v>
      </c>
      <c r="CJ54" s="1092"/>
      <c r="CK54" s="1091">
        <v>104.1</v>
      </c>
      <c r="CL54" s="1092"/>
      <c r="CM54" s="1091">
        <v>103.5</v>
      </c>
      <c r="CN54" s="1092"/>
      <c r="CO54" s="1091">
        <v>102.2</v>
      </c>
      <c r="CP54" s="1092"/>
      <c r="CQ54" s="1091">
        <v>104.3</v>
      </c>
      <c r="CR54" s="1092"/>
      <c r="CS54" s="1091">
        <v>102.7</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103.7</v>
      </c>
      <c r="EE54" s="1092"/>
      <c r="EF54" s="1091">
        <v>101.2</v>
      </c>
      <c r="EG54" s="1092"/>
      <c r="EH54" s="1091">
        <v>101.5</v>
      </c>
      <c r="EI54" s="1092"/>
      <c r="EJ54" s="1091">
        <v>101.7</v>
      </c>
      <c r="EK54" s="1092"/>
      <c r="EL54" s="1091">
        <v>101.8</v>
      </c>
      <c r="EM54" s="1092"/>
      <c r="EN54" s="1091">
        <v>101.3</v>
      </c>
      <c r="EO54" s="1092"/>
      <c r="EP54" s="1091">
        <v>100.6</v>
      </c>
      <c r="EQ54" s="1092"/>
      <c r="ER54" s="1091">
        <v>99.4</v>
      </c>
      <c r="ES54" s="1092"/>
      <c r="ET54" s="1091">
        <v>97</v>
      </c>
      <c r="EU54" s="1092"/>
      <c r="EV54" s="1091">
        <v>95</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18.100000000000001</v>
      </c>
      <c r="FS54" s="1095"/>
      <c r="FT54" s="1092"/>
      <c r="FU54" s="1096">
        <v>18.5</v>
      </c>
      <c r="FV54" s="1095"/>
      <c r="FW54" s="1091">
        <f>IF(面積=0,0,ROUND(FW53/面積,1))</f>
        <v>108.1</v>
      </c>
      <c r="FX54" s="1095"/>
      <c r="FY54" s="1091">
        <f>IF(面積=0,0,ROUND(FY53/面積,1))</f>
        <v>106.4</v>
      </c>
      <c r="FZ54" s="1095"/>
      <c r="GA54" s="1091">
        <f>IF(面積=0,0,ROUND(GA53/面積,1))</f>
        <v>103.7</v>
      </c>
      <c r="GB54" s="1095"/>
      <c r="GC54" s="1091">
        <f>IF(面積=0,0,ROUND(GC53/面積,1))</f>
        <v>108.1</v>
      </c>
      <c r="GD54" s="1095"/>
      <c r="GE54" s="1093">
        <f>IF(面積=0,0,ROUND(GE53/面積,1))</f>
        <v>18.5</v>
      </c>
      <c r="GF54" s="671"/>
      <c r="GG54" s="916"/>
      <c r="GH54" s="916"/>
      <c r="GI54" s="916"/>
      <c r="GJ54" s="567"/>
      <c r="GK54" s="566"/>
      <c r="GL54" s="1079">
        <v>11</v>
      </c>
      <c r="GM54" s="1080">
        <v>2</v>
      </c>
      <c r="GN54" s="1081">
        <v>0.85</v>
      </c>
      <c r="GO54" s="1082">
        <v>4.7</v>
      </c>
      <c r="GP54" s="1082">
        <v>0</v>
      </c>
      <c r="GQ54" s="1083">
        <v>4.7</v>
      </c>
      <c r="GR54" s="517"/>
      <c r="GS54" s="567"/>
      <c r="GT54" s="840"/>
      <c r="GU54" s="1097" t="s">
        <v>486</v>
      </c>
      <c r="GV54" s="1097"/>
      <c r="GW54" s="1097"/>
      <c r="GX54" s="1097"/>
      <c r="GY54" s="758"/>
      <c r="GZ54" s="1098"/>
      <c r="HA54" s="1099">
        <v>0.7</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4.3</v>
      </c>
      <c r="GP55" s="1082">
        <v>0</v>
      </c>
      <c r="GQ55" s="1083">
        <v>4.3</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664</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4</v>
      </c>
      <c r="GP56" s="1082">
        <v>0</v>
      </c>
      <c r="GQ56" s="1083">
        <v>4</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3.6</v>
      </c>
      <c r="GP57" s="1082">
        <v>0</v>
      </c>
      <c r="GQ57" s="1083">
        <v>3.6</v>
      </c>
      <c r="GR57" s="932"/>
      <c r="GS57" s="516"/>
      <c r="GT57" s="1243"/>
      <c r="GU57" s="565"/>
      <c r="GV57" s="565"/>
      <c r="GW57" s="487"/>
      <c r="GX57" s="1246"/>
      <c r="GY57" s="566"/>
      <c r="GZ57" s="487"/>
      <c r="HA57" s="565"/>
      <c r="HB57" s="487"/>
      <c r="HC57" s="1031"/>
    </row>
    <row r="58" spans="1:212" ht="20.100000000000001" customHeight="1">
      <c r="A58" s="1141" t="s">
        <v>831</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540</v>
      </c>
      <c r="Y58" s="1147"/>
      <c r="Z58" s="1146">
        <v>540</v>
      </c>
      <c r="AA58" s="1147"/>
      <c r="AB58" s="1146">
        <v>540</v>
      </c>
      <c r="AC58" s="1147"/>
      <c r="AD58" s="1146">
        <v>540</v>
      </c>
      <c r="AE58" s="1147"/>
      <c r="AF58" s="1146">
        <v>540</v>
      </c>
      <c r="AG58" s="1147"/>
      <c r="AH58" s="1146">
        <v>540</v>
      </c>
      <c r="AI58" s="1147"/>
      <c r="AJ58" s="1146">
        <v>540</v>
      </c>
      <c r="AK58" s="1147"/>
      <c r="AL58" s="1146">
        <v>540</v>
      </c>
      <c r="AM58" s="1147"/>
      <c r="AN58" s="1146">
        <v>540</v>
      </c>
      <c r="AO58" s="1147"/>
      <c r="AP58" s="1146">
        <v>540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540</v>
      </c>
      <c r="CB58" s="1147"/>
      <c r="CC58" s="1146">
        <v>540</v>
      </c>
      <c r="CD58" s="1147"/>
      <c r="CE58" s="1146">
        <v>540</v>
      </c>
      <c r="CF58" s="1147"/>
      <c r="CG58" s="1146">
        <v>540</v>
      </c>
      <c r="CH58" s="1147"/>
      <c r="CI58" s="1146">
        <v>540</v>
      </c>
      <c r="CJ58" s="1147"/>
      <c r="CK58" s="1146">
        <v>540</v>
      </c>
      <c r="CL58" s="1147"/>
      <c r="CM58" s="1146">
        <v>540</v>
      </c>
      <c r="CN58" s="1147"/>
      <c r="CO58" s="1146">
        <v>540</v>
      </c>
      <c r="CP58" s="1147"/>
      <c r="CQ58" s="1146">
        <v>540</v>
      </c>
      <c r="CR58" s="1147"/>
      <c r="CS58" s="1146">
        <v>540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540</v>
      </c>
      <c r="EE58" s="1147"/>
      <c r="EF58" s="1146">
        <v>540</v>
      </c>
      <c r="EG58" s="1147"/>
      <c r="EH58" s="1146">
        <v>540</v>
      </c>
      <c r="EI58" s="1147"/>
      <c r="EJ58" s="1146">
        <v>540</v>
      </c>
      <c r="EK58" s="1147"/>
      <c r="EL58" s="1146">
        <v>540</v>
      </c>
      <c r="EM58" s="1147"/>
      <c r="EN58" s="1146">
        <v>540</v>
      </c>
      <c r="EO58" s="1147"/>
      <c r="EP58" s="1146">
        <v>540</v>
      </c>
      <c r="EQ58" s="1147"/>
      <c r="ER58" s="1146">
        <v>540</v>
      </c>
      <c r="ES58" s="1147"/>
      <c r="ET58" s="1146">
        <v>540</v>
      </c>
      <c r="EU58" s="1147"/>
      <c r="EV58" s="1146">
        <v>540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540</v>
      </c>
      <c r="FS58" s="1150"/>
      <c r="FT58" s="1149"/>
      <c r="FU58" s="1151">
        <v>540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3.4</v>
      </c>
      <c r="GP58" s="1082">
        <v>0</v>
      </c>
      <c r="GQ58" s="1083">
        <v>3.4</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t="s">
        <v>773</v>
      </c>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20.100000000000001</v>
      </c>
      <c r="X59" s="574">
        <v>3618</v>
      </c>
      <c r="Y59" s="1163">
        <v>21</v>
      </c>
      <c r="Z59" s="574">
        <v>3780</v>
      </c>
      <c r="AA59" s="1163">
        <v>21.3</v>
      </c>
      <c r="AB59" s="574">
        <v>3834</v>
      </c>
      <c r="AC59" s="1163">
        <v>22.6</v>
      </c>
      <c r="AD59" s="574">
        <v>4068</v>
      </c>
      <c r="AE59" s="1163">
        <v>22.2</v>
      </c>
      <c r="AF59" s="574">
        <v>3996</v>
      </c>
      <c r="AG59" s="1163">
        <v>21.5</v>
      </c>
      <c r="AH59" s="574">
        <v>3870</v>
      </c>
      <c r="AI59" s="1163">
        <v>21.5</v>
      </c>
      <c r="AJ59" s="574">
        <v>3870</v>
      </c>
      <c r="AK59" s="1163">
        <v>21.2</v>
      </c>
      <c r="AL59" s="574">
        <v>3816</v>
      </c>
      <c r="AM59" s="1163">
        <v>20.5</v>
      </c>
      <c r="AN59" s="574">
        <v>3690</v>
      </c>
      <c r="AO59" s="1163">
        <v>19.8</v>
      </c>
      <c r="AP59" s="574">
        <v>3564</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t="s">
        <v>773</v>
      </c>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15</v>
      </c>
      <c r="CA59" s="574">
        <v>2700</v>
      </c>
      <c r="CB59" s="1163">
        <v>15.8</v>
      </c>
      <c r="CC59" s="574">
        <v>2844</v>
      </c>
      <c r="CD59" s="1163">
        <v>16.7</v>
      </c>
      <c r="CE59" s="574">
        <v>3006</v>
      </c>
      <c r="CF59" s="1163">
        <v>17.399999999999999</v>
      </c>
      <c r="CG59" s="574">
        <v>3132</v>
      </c>
      <c r="CH59" s="1163">
        <v>17.8</v>
      </c>
      <c r="CI59" s="574">
        <v>3204</v>
      </c>
      <c r="CJ59" s="1163">
        <v>17.100000000000001</v>
      </c>
      <c r="CK59" s="574">
        <v>3078</v>
      </c>
      <c r="CL59" s="1163">
        <v>16.899999999999999</v>
      </c>
      <c r="CM59" s="574">
        <v>3042</v>
      </c>
      <c r="CN59" s="1163">
        <v>16.7</v>
      </c>
      <c r="CO59" s="574">
        <v>3006</v>
      </c>
      <c r="CP59" s="1163">
        <v>16.7</v>
      </c>
      <c r="CQ59" s="574">
        <v>3006</v>
      </c>
      <c r="CR59" s="1163">
        <v>16</v>
      </c>
      <c r="CS59" s="574">
        <v>2880</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t="s">
        <v>773</v>
      </c>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6.2</v>
      </c>
      <c r="ED59" s="574">
        <v>1116</v>
      </c>
      <c r="EE59" s="1163">
        <v>7.3</v>
      </c>
      <c r="EF59" s="574">
        <v>1314</v>
      </c>
      <c r="EG59" s="1163">
        <v>7.4</v>
      </c>
      <c r="EH59" s="574">
        <v>1332</v>
      </c>
      <c r="EI59" s="1163">
        <v>7.8</v>
      </c>
      <c r="EJ59" s="574">
        <v>1404</v>
      </c>
      <c r="EK59" s="1163">
        <v>7.5</v>
      </c>
      <c r="EL59" s="574">
        <v>1350</v>
      </c>
      <c r="EM59" s="1163">
        <v>7</v>
      </c>
      <c r="EN59" s="574">
        <v>1260</v>
      </c>
      <c r="EO59" s="1163">
        <v>6.8</v>
      </c>
      <c r="EP59" s="574">
        <v>1224</v>
      </c>
      <c r="EQ59" s="1163">
        <v>6.9</v>
      </c>
      <c r="ER59" s="574">
        <v>1242</v>
      </c>
      <c r="ES59" s="1163">
        <v>6.4</v>
      </c>
      <c r="ET59" s="574">
        <v>1152</v>
      </c>
      <c r="EU59" s="1163">
        <v>6.9</v>
      </c>
      <c r="EV59" s="574">
        <v>1242</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t="s">
        <v>773</v>
      </c>
      <c r="FN59" s="1161"/>
      <c r="FO59" s="1000"/>
      <c r="FP59" s="612">
        <v>9</v>
      </c>
      <c r="FQ59" s="1164">
        <v>28.5</v>
      </c>
      <c r="FR59" s="1165">
        <v>5130</v>
      </c>
      <c r="FS59" s="1166">
        <v>9</v>
      </c>
      <c r="FT59" s="1164">
        <v>24.8</v>
      </c>
      <c r="FU59" s="1167">
        <v>4464</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3.1</v>
      </c>
      <c r="GP59" s="1082">
        <v>0</v>
      </c>
      <c r="GQ59" s="1083">
        <v>3.1</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2.8</v>
      </c>
      <c r="GP60" s="1082">
        <v>0</v>
      </c>
      <c r="GQ60" s="1083">
        <v>2.8</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7429</v>
      </c>
      <c r="Y61" s="1184"/>
      <c r="Z61" s="1185">
        <v>7518</v>
      </c>
      <c r="AA61" s="1184"/>
      <c r="AB61" s="1185">
        <v>7593</v>
      </c>
      <c r="AC61" s="1184"/>
      <c r="AD61" s="1185">
        <v>7832</v>
      </c>
      <c r="AE61" s="1184"/>
      <c r="AF61" s="1185">
        <v>7760</v>
      </c>
      <c r="AG61" s="1184"/>
      <c r="AH61" s="1185">
        <v>7620</v>
      </c>
      <c r="AI61" s="1184"/>
      <c r="AJ61" s="1185">
        <v>7581</v>
      </c>
      <c r="AK61" s="1184"/>
      <c r="AL61" s="1185">
        <v>7470</v>
      </c>
      <c r="AM61" s="1184"/>
      <c r="AN61" s="1185">
        <v>7308</v>
      </c>
      <c r="AO61" s="1184"/>
      <c r="AP61" s="1185">
        <v>7074</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6449</v>
      </c>
      <c r="CB61" s="1184"/>
      <c r="CC61" s="1185">
        <v>6501</v>
      </c>
      <c r="CD61" s="1184"/>
      <c r="CE61" s="1185">
        <v>6675</v>
      </c>
      <c r="CF61" s="1184"/>
      <c r="CG61" s="1185">
        <v>6798</v>
      </c>
      <c r="CH61" s="1184"/>
      <c r="CI61" s="1185">
        <v>6884</v>
      </c>
      <c r="CJ61" s="1184"/>
      <c r="CK61" s="1185">
        <v>6746</v>
      </c>
      <c r="CL61" s="1184"/>
      <c r="CM61" s="1185">
        <v>6691</v>
      </c>
      <c r="CN61" s="1184"/>
      <c r="CO61" s="1185">
        <v>6607</v>
      </c>
      <c r="CP61" s="1184"/>
      <c r="CQ61" s="1185">
        <v>6682</v>
      </c>
      <c r="CR61" s="1184"/>
      <c r="CS61" s="1185">
        <v>6500</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4770</v>
      </c>
      <c r="EE61" s="1184"/>
      <c r="EF61" s="1185">
        <v>4881</v>
      </c>
      <c r="EG61" s="1184"/>
      <c r="EH61" s="1185">
        <v>4911</v>
      </c>
      <c r="EI61" s="1184"/>
      <c r="EJ61" s="1185">
        <v>4990</v>
      </c>
      <c r="EK61" s="1184"/>
      <c r="EL61" s="1185">
        <v>4938</v>
      </c>
      <c r="EM61" s="1184"/>
      <c r="EN61" s="1185">
        <v>4830</v>
      </c>
      <c r="EO61" s="1184"/>
      <c r="EP61" s="1185">
        <v>4771</v>
      </c>
      <c r="EQ61" s="1184"/>
      <c r="ER61" s="1185">
        <v>4745</v>
      </c>
      <c r="ES61" s="1184"/>
      <c r="ET61" s="1185">
        <v>4573</v>
      </c>
      <c r="EU61" s="1184"/>
      <c r="EV61" s="1185">
        <v>4589</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5767</v>
      </c>
      <c r="FS61" s="1190"/>
      <c r="FT61" s="1188"/>
      <c r="FU61" s="1191">
        <v>5116</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2.6</v>
      </c>
      <c r="GP61" s="1082">
        <v>0</v>
      </c>
      <c r="GQ61" s="1083">
        <v>2.6</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t="s">
        <v>777</v>
      </c>
      <c r="FN66" s="1221"/>
      <c r="FO66" s="1181"/>
      <c r="FP66" s="1187">
        <v>9</v>
      </c>
      <c r="FQ66" s="1222">
        <v>4.0999999999999996</v>
      </c>
      <c r="FR66" s="1223">
        <v>2.7</v>
      </c>
      <c r="FS66" s="1190">
        <v>9</v>
      </c>
      <c r="FT66" s="1222">
        <v>2.4</v>
      </c>
      <c r="FU66" s="1224">
        <v>1.6</v>
      </c>
      <c r="FV66" s="1225"/>
      <c r="FW66" s="1226"/>
      <c r="FX66" s="1226"/>
      <c r="FY66" s="1226"/>
      <c r="FZ66" s="1226"/>
      <c r="GA66" s="1226"/>
      <c r="GB66" s="1226"/>
      <c r="GC66" s="1227"/>
      <c r="GD66" s="1190"/>
      <c r="GE66" s="1228">
        <v>2.7</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t="s">
        <v>327</v>
      </c>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t="str">
        <f>$G68</f>
        <v>(C)室内全熱負荷以降の外気負荷等は、熱源容量計算用の基準別、時刻別の値です。外気負荷を含めた空調機の容量の計算等は別紙「ACU-2系統 空調機容量の計算」をご参照ください。</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t="str">
        <f>$G68</f>
        <v>(C)室内全熱負荷以降の外気負荷等は、熱源容量計算用の基準別、時刻別の値です。外気負荷を含めた空調機の容量の計算等は別紙「ACU-2系統 空調機容量の計算」をご参照ください。</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683</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592</v>
      </c>
      <c r="B3" s="385">
        <v>210</v>
      </c>
      <c r="C3" s="386" t="s">
        <v>336</v>
      </c>
      <c r="D3" s="387" t="s">
        <v>686</v>
      </c>
      <c r="E3" s="387"/>
      <c r="F3" s="387"/>
      <c r="G3" s="387"/>
      <c r="H3" s="387"/>
      <c r="I3" s="387"/>
      <c r="J3" s="388"/>
      <c r="K3" s="389" t="s">
        <v>687</v>
      </c>
      <c r="L3" s="390"/>
      <c r="M3" s="389" t="s">
        <v>339</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210</v>
      </c>
      <c r="BF3" s="386" t="s">
        <v>335</v>
      </c>
      <c r="BG3" s="398" t="s">
        <v>682</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210</v>
      </c>
      <c r="DI3" s="386" t="s">
        <v>335</v>
      </c>
      <c r="DJ3" s="398" t="s">
        <v>682</v>
      </c>
      <c r="DK3" s="398"/>
      <c r="DL3" s="398"/>
      <c r="DM3" s="398"/>
      <c r="DN3" s="398"/>
      <c r="DO3" s="398"/>
      <c r="DP3" s="399"/>
      <c r="DQ3" s="389" t="s">
        <v>338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210</v>
      </c>
      <c r="FL3" s="386" t="s">
        <v>335</v>
      </c>
      <c r="FM3" s="398" t="s">
        <v>682</v>
      </c>
      <c r="FN3" s="398"/>
      <c r="FO3" s="398"/>
      <c r="FP3" s="398"/>
      <c r="FQ3" s="398"/>
      <c r="FR3" s="398"/>
      <c r="FS3" s="399"/>
      <c r="FT3" s="389" t="s">
        <v>338</v>
      </c>
      <c r="FU3" s="390"/>
      <c r="FV3" s="389" t="s">
        <v>339</v>
      </c>
      <c r="FW3" s="390"/>
      <c r="FX3" s="391" t="s">
        <v>769</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21</v>
      </c>
      <c r="E5" s="433" t="s">
        <v>350</v>
      </c>
      <c r="F5" s="434">
        <v>2.7</v>
      </c>
      <c r="G5" s="435" t="s">
        <v>351</v>
      </c>
      <c r="H5" s="436"/>
      <c r="I5" s="437">
        <v>56.7</v>
      </c>
      <c r="J5" s="438"/>
      <c r="K5" s="439">
        <v>90</v>
      </c>
      <c r="L5" s="440"/>
      <c r="M5" s="439">
        <v>20</v>
      </c>
      <c r="N5" s="440"/>
      <c r="O5" s="1470" t="s">
        <v>759</v>
      </c>
      <c r="P5" s="441"/>
      <c r="Q5" s="1471" t="s">
        <v>839</v>
      </c>
      <c r="R5" s="442"/>
      <c r="S5" s="1472" t="s">
        <v>840</v>
      </c>
      <c r="T5" s="443"/>
      <c r="U5" s="1473" t="s">
        <v>841</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21</v>
      </c>
      <c r="BH5" s="433" t="s">
        <v>350</v>
      </c>
      <c r="BI5" s="434">
        <v>2.7</v>
      </c>
      <c r="BJ5" s="435" t="s">
        <v>351</v>
      </c>
      <c r="BK5" s="436"/>
      <c r="BL5" s="437">
        <v>56.7</v>
      </c>
      <c r="BM5" s="438"/>
      <c r="BN5" s="439">
        <v>90</v>
      </c>
      <c r="BO5" s="440"/>
      <c r="BP5" s="439">
        <v>20</v>
      </c>
      <c r="BQ5" s="440"/>
      <c r="BR5" s="1470" t="s">
        <v>759</v>
      </c>
      <c r="BS5" s="441"/>
      <c r="BT5" s="1471" t="s">
        <v>842</v>
      </c>
      <c r="BU5" s="442"/>
      <c r="BV5" s="1472" t="s">
        <v>843</v>
      </c>
      <c r="BW5" s="443"/>
      <c r="BX5" s="1473" t="s">
        <v>844</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21</v>
      </c>
      <c r="DK5" s="433" t="s">
        <v>350</v>
      </c>
      <c r="DL5" s="434">
        <v>2.7</v>
      </c>
      <c r="DM5" s="435" t="s">
        <v>351</v>
      </c>
      <c r="DN5" s="436"/>
      <c r="DO5" s="437">
        <v>56.7</v>
      </c>
      <c r="DP5" s="438"/>
      <c r="DQ5" s="439">
        <v>90</v>
      </c>
      <c r="DR5" s="440"/>
      <c r="DS5" s="439">
        <v>20</v>
      </c>
      <c r="DT5" s="440"/>
      <c r="DU5" s="1470" t="s">
        <v>762</v>
      </c>
      <c r="DV5" s="441"/>
      <c r="DW5" s="1471" t="s">
        <v>845</v>
      </c>
      <c r="DX5" s="442"/>
      <c r="DY5" s="1472" t="s">
        <v>843</v>
      </c>
      <c r="DZ5" s="443"/>
      <c r="EA5" s="1473" t="s">
        <v>844</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21</v>
      </c>
      <c r="FN5" s="433" t="s">
        <v>350</v>
      </c>
      <c r="FO5" s="434">
        <v>2.7</v>
      </c>
      <c r="FP5" s="435" t="s">
        <v>351</v>
      </c>
      <c r="FQ5" s="436"/>
      <c r="FR5" s="437">
        <v>56.7</v>
      </c>
      <c r="FS5" s="438"/>
      <c r="FT5" s="439">
        <v>90</v>
      </c>
      <c r="FU5" s="440"/>
      <c r="FV5" s="439">
        <v>20</v>
      </c>
      <c r="FW5" s="440"/>
      <c r="FX5" s="1470" t="s">
        <v>846</v>
      </c>
      <c r="FY5" s="441"/>
      <c r="FZ5" s="1471" t="s">
        <v>847</v>
      </c>
      <c r="GA5" s="442"/>
      <c r="GB5" s="1472" t="s">
        <v>848</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670</v>
      </c>
      <c r="E9" s="522" t="s">
        <v>671</v>
      </c>
      <c r="F9" s="523" t="s">
        <v>265</v>
      </c>
      <c r="G9" s="524" t="s">
        <v>672</v>
      </c>
      <c r="H9" s="525" t="s">
        <v>673</v>
      </c>
      <c r="I9" s="526" t="s">
        <v>268</v>
      </c>
      <c r="J9" s="525" t="s">
        <v>673</v>
      </c>
      <c r="K9" s="526" t="s">
        <v>268</v>
      </c>
      <c r="L9" s="525" t="s">
        <v>673</v>
      </c>
      <c r="M9" s="526" t="s">
        <v>268</v>
      </c>
      <c r="N9" s="525" t="s">
        <v>673</v>
      </c>
      <c r="O9" s="526" t="s">
        <v>268</v>
      </c>
      <c r="P9" s="525" t="s">
        <v>673</v>
      </c>
      <c r="Q9" s="526" t="s">
        <v>268</v>
      </c>
      <c r="R9" s="525" t="s">
        <v>673</v>
      </c>
      <c r="S9" s="526" t="s">
        <v>268</v>
      </c>
      <c r="T9" s="525" t="s">
        <v>673</v>
      </c>
      <c r="U9" s="526" t="s">
        <v>268</v>
      </c>
      <c r="V9" s="525" t="s">
        <v>673</v>
      </c>
      <c r="W9" s="526" t="s">
        <v>268</v>
      </c>
      <c r="X9" s="525" t="s">
        <v>673</v>
      </c>
      <c r="Y9" s="526" t="s">
        <v>268</v>
      </c>
      <c r="Z9" s="525" t="s">
        <v>673</v>
      </c>
      <c r="AA9" s="526" t="s">
        <v>268</v>
      </c>
      <c r="AB9" s="525" t="s">
        <v>673</v>
      </c>
      <c r="AC9" s="526" t="s">
        <v>268</v>
      </c>
      <c r="AD9" s="525" t="s">
        <v>673</v>
      </c>
      <c r="AE9" s="526" t="s">
        <v>268</v>
      </c>
      <c r="AF9" s="525" t="s">
        <v>673</v>
      </c>
      <c r="AG9" s="526" t="s">
        <v>268</v>
      </c>
      <c r="AH9" s="525" t="s">
        <v>673</v>
      </c>
      <c r="AI9" s="526" t="s">
        <v>268</v>
      </c>
      <c r="AJ9" s="525" t="s">
        <v>673</v>
      </c>
      <c r="AK9" s="526" t="s">
        <v>268</v>
      </c>
      <c r="AL9" s="525" t="s">
        <v>673</v>
      </c>
      <c r="AM9" s="526" t="s">
        <v>268</v>
      </c>
      <c r="AN9" s="525" t="s">
        <v>673</v>
      </c>
      <c r="AO9" s="526" t="s">
        <v>268</v>
      </c>
      <c r="AP9" s="525" t="s">
        <v>673</v>
      </c>
      <c r="AQ9" s="526" t="s">
        <v>268</v>
      </c>
      <c r="AR9" s="525" t="s">
        <v>673</v>
      </c>
      <c r="AS9" s="526" t="s">
        <v>268</v>
      </c>
      <c r="AT9" s="525" t="s">
        <v>673</v>
      </c>
      <c r="AU9" s="526" t="s">
        <v>268</v>
      </c>
      <c r="AV9" s="525" t="s">
        <v>673</v>
      </c>
      <c r="AW9" s="526" t="s">
        <v>268</v>
      </c>
      <c r="AX9" s="525" t="s">
        <v>673</v>
      </c>
      <c r="AY9" s="526" t="s">
        <v>268</v>
      </c>
      <c r="AZ9" s="525" t="s">
        <v>673</v>
      </c>
      <c r="BA9" s="526" t="s">
        <v>268</v>
      </c>
      <c r="BB9" s="527" t="s">
        <v>271</v>
      </c>
      <c r="BC9" s="490"/>
      <c r="BD9" s="519" t="s">
        <v>260</v>
      </c>
      <c r="BE9" s="520" t="s">
        <v>261</v>
      </c>
      <c r="BF9" s="521" t="s">
        <v>262</v>
      </c>
      <c r="BG9" s="521" t="s">
        <v>670</v>
      </c>
      <c r="BH9" s="522" t="s">
        <v>671</v>
      </c>
      <c r="BI9" s="523" t="s">
        <v>265</v>
      </c>
      <c r="BJ9" s="524" t="s">
        <v>672</v>
      </c>
      <c r="BK9" s="525" t="s">
        <v>673</v>
      </c>
      <c r="BL9" s="526" t="s">
        <v>268</v>
      </c>
      <c r="BM9" s="525" t="s">
        <v>673</v>
      </c>
      <c r="BN9" s="526" t="s">
        <v>268</v>
      </c>
      <c r="BO9" s="525" t="s">
        <v>673</v>
      </c>
      <c r="BP9" s="526" t="s">
        <v>268</v>
      </c>
      <c r="BQ9" s="525" t="s">
        <v>673</v>
      </c>
      <c r="BR9" s="526" t="s">
        <v>268</v>
      </c>
      <c r="BS9" s="525" t="s">
        <v>673</v>
      </c>
      <c r="BT9" s="526" t="s">
        <v>268</v>
      </c>
      <c r="BU9" s="525" t="s">
        <v>673</v>
      </c>
      <c r="BV9" s="526" t="s">
        <v>268</v>
      </c>
      <c r="BW9" s="525" t="s">
        <v>673</v>
      </c>
      <c r="BX9" s="526" t="s">
        <v>268</v>
      </c>
      <c r="BY9" s="525" t="s">
        <v>673</v>
      </c>
      <c r="BZ9" s="526" t="s">
        <v>268</v>
      </c>
      <c r="CA9" s="525" t="s">
        <v>673</v>
      </c>
      <c r="CB9" s="526" t="s">
        <v>268</v>
      </c>
      <c r="CC9" s="525" t="s">
        <v>673</v>
      </c>
      <c r="CD9" s="526" t="s">
        <v>268</v>
      </c>
      <c r="CE9" s="525" t="s">
        <v>673</v>
      </c>
      <c r="CF9" s="526" t="s">
        <v>268</v>
      </c>
      <c r="CG9" s="525" t="s">
        <v>673</v>
      </c>
      <c r="CH9" s="526" t="s">
        <v>268</v>
      </c>
      <c r="CI9" s="525" t="s">
        <v>673</v>
      </c>
      <c r="CJ9" s="526" t="s">
        <v>268</v>
      </c>
      <c r="CK9" s="525" t="s">
        <v>673</v>
      </c>
      <c r="CL9" s="526" t="s">
        <v>268</v>
      </c>
      <c r="CM9" s="525" t="s">
        <v>673</v>
      </c>
      <c r="CN9" s="526" t="s">
        <v>268</v>
      </c>
      <c r="CO9" s="525" t="s">
        <v>673</v>
      </c>
      <c r="CP9" s="526" t="s">
        <v>268</v>
      </c>
      <c r="CQ9" s="525" t="s">
        <v>673</v>
      </c>
      <c r="CR9" s="526" t="s">
        <v>268</v>
      </c>
      <c r="CS9" s="525" t="s">
        <v>673</v>
      </c>
      <c r="CT9" s="526" t="s">
        <v>268</v>
      </c>
      <c r="CU9" s="525" t="s">
        <v>673</v>
      </c>
      <c r="CV9" s="526" t="s">
        <v>268</v>
      </c>
      <c r="CW9" s="525" t="s">
        <v>673</v>
      </c>
      <c r="CX9" s="526" t="s">
        <v>268</v>
      </c>
      <c r="CY9" s="525" t="s">
        <v>673</v>
      </c>
      <c r="CZ9" s="526" t="s">
        <v>268</v>
      </c>
      <c r="DA9" s="525" t="s">
        <v>673</v>
      </c>
      <c r="DB9" s="526" t="s">
        <v>268</v>
      </c>
      <c r="DC9" s="525" t="s">
        <v>673</v>
      </c>
      <c r="DD9" s="526" t="s">
        <v>268</v>
      </c>
      <c r="DE9" s="527" t="s">
        <v>271</v>
      </c>
      <c r="DF9" s="490"/>
      <c r="DG9" s="519" t="s">
        <v>260</v>
      </c>
      <c r="DH9" s="520" t="s">
        <v>261</v>
      </c>
      <c r="DI9" s="521" t="s">
        <v>262</v>
      </c>
      <c r="DJ9" s="521" t="s">
        <v>670</v>
      </c>
      <c r="DK9" s="522" t="s">
        <v>671</v>
      </c>
      <c r="DL9" s="523" t="s">
        <v>265</v>
      </c>
      <c r="DM9" s="524" t="s">
        <v>672</v>
      </c>
      <c r="DN9" s="525" t="s">
        <v>673</v>
      </c>
      <c r="DO9" s="526" t="s">
        <v>268</v>
      </c>
      <c r="DP9" s="525" t="s">
        <v>673</v>
      </c>
      <c r="DQ9" s="526" t="s">
        <v>268</v>
      </c>
      <c r="DR9" s="525" t="s">
        <v>673</v>
      </c>
      <c r="DS9" s="526" t="s">
        <v>268</v>
      </c>
      <c r="DT9" s="525" t="s">
        <v>673</v>
      </c>
      <c r="DU9" s="526" t="s">
        <v>268</v>
      </c>
      <c r="DV9" s="525" t="s">
        <v>673</v>
      </c>
      <c r="DW9" s="526" t="s">
        <v>268</v>
      </c>
      <c r="DX9" s="525" t="s">
        <v>673</v>
      </c>
      <c r="DY9" s="526" t="s">
        <v>268</v>
      </c>
      <c r="DZ9" s="525" t="s">
        <v>673</v>
      </c>
      <c r="EA9" s="526" t="s">
        <v>268</v>
      </c>
      <c r="EB9" s="525" t="s">
        <v>673</v>
      </c>
      <c r="EC9" s="526" t="s">
        <v>268</v>
      </c>
      <c r="ED9" s="525" t="s">
        <v>673</v>
      </c>
      <c r="EE9" s="526" t="s">
        <v>268</v>
      </c>
      <c r="EF9" s="525" t="s">
        <v>673</v>
      </c>
      <c r="EG9" s="526" t="s">
        <v>268</v>
      </c>
      <c r="EH9" s="525" t="s">
        <v>673</v>
      </c>
      <c r="EI9" s="526" t="s">
        <v>268</v>
      </c>
      <c r="EJ9" s="525" t="s">
        <v>673</v>
      </c>
      <c r="EK9" s="526" t="s">
        <v>268</v>
      </c>
      <c r="EL9" s="525" t="s">
        <v>673</v>
      </c>
      <c r="EM9" s="526" t="s">
        <v>268</v>
      </c>
      <c r="EN9" s="525" t="s">
        <v>673</v>
      </c>
      <c r="EO9" s="526" t="s">
        <v>268</v>
      </c>
      <c r="EP9" s="525" t="s">
        <v>673</v>
      </c>
      <c r="EQ9" s="526" t="s">
        <v>268</v>
      </c>
      <c r="ER9" s="525" t="s">
        <v>673</v>
      </c>
      <c r="ES9" s="526" t="s">
        <v>268</v>
      </c>
      <c r="ET9" s="525" t="s">
        <v>673</v>
      </c>
      <c r="EU9" s="526" t="s">
        <v>268</v>
      </c>
      <c r="EV9" s="525" t="s">
        <v>673</v>
      </c>
      <c r="EW9" s="526" t="s">
        <v>268</v>
      </c>
      <c r="EX9" s="525" t="s">
        <v>673</v>
      </c>
      <c r="EY9" s="526" t="s">
        <v>268</v>
      </c>
      <c r="EZ9" s="525" t="s">
        <v>673</v>
      </c>
      <c r="FA9" s="526" t="s">
        <v>268</v>
      </c>
      <c r="FB9" s="525" t="s">
        <v>673</v>
      </c>
      <c r="FC9" s="526" t="s">
        <v>268</v>
      </c>
      <c r="FD9" s="525" t="s">
        <v>673</v>
      </c>
      <c r="FE9" s="526" t="s">
        <v>268</v>
      </c>
      <c r="FF9" s="525" t="s">
        <v>673</v>
      </c>
      <c r="FG9" s="526" t="s">
        <v>268</v>
      </c>
      <c r="FH9" s="527" t="s">
        <v>271</v>
      </c>
      <c r="FI9" s="528"/>
      <c r="FJ9" s="529" t="s">
        <v>260</v>
      </c>
      <c r="FK9" s="520" t="s">
        <v>261</v>
      </c>
      <c r="FL9" s="521" t="s">
        <v>262</v>
      </c>
      <c r="FM9" s="521" t="s">
        <v>670</v>
      </c>
      <c r="FN9" s="522" t="s">
        <v>671</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t="s">
        <v>229</v>
      </c>
      <c r="C10" s="541" t="s">
        <v>73</v>
      </c>
      <c r="D10" s="542">
        <f>ROUND(3.5*0.85,2)</f>
        <v>2.98</v>
      </c>
      <c r="E10" s="540" t="s">
        <v>326</v>
      </c>
      <c r="F10" s="541" t="s">
        <v>197</v>
      </c>
      <c r="G10" s="543">
        <v>0</v>
      </c>
      <c r="H10" s="544">
        <f>ROUND(ROUND(3.5*0.85,2)*0.34*0,0)</f>
        <v>0</v>
      </c>
      <c r="I10" s="545">
        <v>0</v>
      </c>
      <c r="J10" s="546">
        <f>ROUND(ROUND(3.5*0.85,2)*0.34*0,0)</f>
        <v>0</v>
      </c>
      <c r="K10" s="547">
        <v>0</v>
      </c>
      <c r="L10" s="546">
        <f>ROUND(ROUND(3.5*0.85,2)*0.34*0,0)</f>
        <v>0</v>
      </c>
      <c r="M10" s="547">
        <v>0</v>
      </c>
      <c r="N10" s="546">
        <f>ROUND(ROUND(3.5*0.85,2)*0.34*0,0)</f>
        <v>0</v>
      </c>
      <c r="O10" s="547">
        <v>0</v>
      </c>
      <c r="P10" s="546">
        <f>ROUND(ROUND(3.5*0.85,2)*0.34*0,0)</f>
        <v>0</v>
      </c>
      <c r="Q10" s="547">
        <v>0</v>
      </c>
      <c r="R10" s="546">
        <f>ROUND(ROUND(3.5*0.85,2)*0.34*0,0)</f>
        <v>0</v>
      </c>
      <c r="S10" s="547">
        <v>0</v>
      </c>
      <c r="T10" s="546">
        <f>ROUND(ROUND(3.5*0.85,2)*0.34*0,0)</f>
        <v>0</v>
      </c>
      <c r="U10" s="547">
        <v>0</v>
      </c>
      <c r="V10" s="546">
        <f>ROUND(ROUND(3.5*0.85,2)*0.34*0,0)</f>
        <v>0</v>
      </c>
      <c r="W10" s="547">
        <v>86</v>
      </c>
      <c r="X10" s="546">
        <f>ROUND(ROUND(3.5*0.85,2)*0.34*86,0)</f>
        <v>87</v>
      </c>
      <c r="Y10" s="547">
        <v>93</v>
      </c>
      <c r="Z10" s="546">
        <f>ROUND(ROUND(3.5*0.85,2)*0.34*93,0)</f>
        <v>94</v>
      </c>
      <c r="AA10" s="547">
        <v>95</v>
      </c>
      <c r="AB10" s="546">
        <f>ROUND(ROUND(3.5*0.85,2)*0.34*95,0)</f>
        <v>96</v>
      </c>
      <c r="AC10" s="547">
        <v>94</v>
      </c>
      <c r="AD10" s="546">
        <f>ROUND(ROUND(3.5*0.85,2)*0.34*94,0)</f>
        <v>95</v>
      </c>
      <c r="AE10" s="547">
        <v>93</v>
      </c>
      <c r="AF10" s="546">
        <f>ROUND(ROUND(3.5*0.85,2)*0.34*93,0)</f>
        <v>94</v>
      </c>
      <c r="AG10" s="547">
        <v>90</v>
      </c>
      <c r="AH10" s="546">
        <f>ROUND(ROUND(3.5*0.85,2)*0.34*90,0)</f>
        <v>91</v>
      </c>
      <c r="AI10" s="547">
        <v>80</v>
      </c>
      <c r="AJ10" s="546">
        <f>ROUND(ROUND(3.5*0.85,2)*0.34*80,0)</f>
        <v>81</v>
      </c>
      <c r="AK10" s="547">
        <v>63</v>
      </c>
      <c r="AL10" s="546">
        <f>ROUND(ROUND(3.5*0.85,2)*0.34*63,0)</f>
        <v>64</v>
      </c>
      <c r="AM10" s="547">
        <v>62</v>
      </c>
      <c r="AN10" s="546">
        <f>ROUND(ROUND(3.5*0.85,2)*0.34*62,0)</f>
        <v>63</v>
      </c>
      <c r="AO10" s="547">
        <v>26</v>
      </c>
      <c r="AP10" s="546">
        <f>ROUND(ROUND(3.5*0.85,2)*0.34*26,0)</f>
        <v>26</v>
      </c>
      <c r="AQ10" s="547">
        <v>0</v>
      </c>
      <c r="AR10" s="546">
        <f>ROUND(ROUND(3.5*0.85,2)*0.34*0,0)</f>
        <v>0</v>
      </c>
      <c r="AS10" s="547">
        <v>0</v>
      </c>
      <c r="AT10" s="546">
        <f>ROUND(ROUND(3.5*0.85,2)*0.34*0,0)</f>
        <v>0</v>
      </c>
      <c r="AU10" s="547">
        <v>0</v>
      </c>
      <c r="AV10" s="546">
        <f>ROUND(ROUND(3.5*0.85,2)*0.34*0,0)</f>
        <v>0</v>
      </c>
      <c r="AW10" s="547">
        <v>0</v>
      </c>
      <c r="AX10" s="546">
        <f>ROUND(ROUND(3.5*0.85,2)*0.34*0,0)</f>
        <v>0</v>
      </c>
      <c r="AY10" s="547">
        <v>0</v>
      </c>
      <c r="AZ10" s="546">
        <f>ROUND(ROUND(3.5*0.85,2)*0.34*0,0)</f>
        <v>0</v>
      </c>
      <c r="BA10" s="547">
        <v>0</v>
      </c>
      <c r="BB10" s="548">
        <f>ROUND(ROUND(3.5*0.85,2)*0.34*0,0)</f>
        <v>0</v>
      </c>
      <c r="BC10" s="549"/>
      <c r="BD10" s="539"/>
      <c r="BE10" s="540"/>
      <c r="BF10" s="541"/>
      <c r="BG10" s="542"/>
      <c r="BH10" s="540"/>
      <c r="BI10" s="541"/>
      <c r="BJ10" s="543">
        <v>0</v>
      </c>
      <c r="BK10" s="544">
        <f>ROUND(ROUND(3.5*0.85,2)*0.34*0,0)</f>
        <v>0</v>
      </c>
      <c r="BL10" s="545">
        <v>0</v>
      </c>
      <c r="BM10" s="546">
        <f>ROUND(ROUND(3.5*0.85,2)*0.34*0,0)</f>
        <v>0</v>
      </c>
      <c r="BN10" s="547">
        <v>0</v>
      </c>
      <c r="BO10" s="546">
        <f>ROUND(ROUND(3.5*0.85,2)*0.34*0,0)</f>
        <v>0</v>
      </c>
      <c r="BP10" s="547">
        <v>0</v>
      </c>
      <c r="BQ10" s="546">
        <f>ROUND(ROUND(3.5*0.85,2)*0.34*0,0)</f>
        <v>0</v>
      </c>
      <c r="BR10" s="547">
        <v>0</v>
      </c>
      <c r="BS10" s="546">
        <f>ROUND(ROUND(3.5*0.85,2)*0.34*0,0)</f>
        <v>0</v>
      </c>
      <c r="BT10" s="547">
        <v>0</v>
      </c>
      <c r="BU10" s="546">
        <f>ROUND(ROUND(3.5*0.85,2)*0.34*0,0)</f>
        <v>0</v>
      </c>
      <c r="BV10" s="547">
        <v>0</v>
      </c>
      <c r="BW10" s="546">
        <f>ROUND(ROUND(3.5*0.85,2)*0.34*0,0)</f>
        <v>0</v>
      </c>
      <c r="BX10" s="547">
        <v>0</v>
      </c>
      <c r="BY10" s="546">
        <f>ROUND(ROUND(3.5*0.85,2)*0.34*0,0)</f>
        <v>0</v>
      </c>
      <c r="BZ10" s="547">
        <v>64</v>
      </c>
      <c r="CA10" s="546">
        <f>ROUND(ROUND(3.5*0.85,2)*0.34*64,0)</f>
        <v>65</v>
      </c>
      <c r="CB10" s="547">
        <v>64</v>
      </c>
      <c r="CC10" s="546">
        <f>ROUND(ROUND(3.5*0.85,2)*0.34*64,0)</f>
        <v>65</v>
      </c>
      <c r="CD10" s="547">
        <v>61</v>
      </c>
      <c r="CE10" s="546">
        <f>ROUND(ROUND(3.5*0.85,2)*0.34*61,0)</f>
        <v>62</v>
      </c>
      <c r="CF10" s="547">
        <v>59</v>
      </c>
      <c r="CG10" s="546">
        <f>ROUND(ROUND(3.5*0.85,2)*0.34*59,0)</f>
        <v>60</v>
      </c>
      <c r="CH10" s="547">
        <v>63</v>
      </c>
      <c r="CI10" s="546">
        <f>ROUND(ROUND(3.5*0.85,2)*0.34*63,0)</f>
        <v>64</v>
      </c>
      <c r="CJ10" s="547">
        <v>65</v>
      </c>
      <c r="CK10" s="546">
        <f>ROUND(ROUND(3.5*0.85,2)*0.34*65,0)</f>
        <v>66</v>
      </c>
      <c r="CL10" s="547">
        <v>63</v>
      </c>
      <c r="CM10" s="546">
        <f>ROUND(ROUND(3.5*0.85,2)*0.34*63,0)</f>
        <v>64</v>
      </c>
      <c r="CN10" s="547">
        <v>51</v>
      </c>
      <c r="CO10" s="546">
        <f>ROUND(ROUND(3.5*0.85,2)*0.34*51,0)</f>
        <v>52</v>
      </c>
      <c r="CP10" s="547">
        <v>92</v>
      </c>
      <c r="CQ10" s="546">
        <f>ROUND(ROUND(3.5*0.85,2)*0.34*92,0)</f>
        <v>93</v>
      </c>
      <c r="CR10" s="547">
        <v>81</v>
      </c>
      <c r="CS10" s="546">
        <f>ROUND(ROUND(3.5*0.85,2)*0.34*81,0)</f>
        <v>82</v>
      </c>
      <c r="CT10" s="547">
        <v>0</v>
      </c>
      <c r="CU10" s="546">
        <f>ROUND(ROUND(3.5*0.85,2)*0.34*0,0)</f>
        <v>0</v>
      </c>
      <c r="CV10" s="547">
        <v>0</v>
      </c>
      <c r="CW10" s="546">
        <f>ROUND(ROUND(3.5*0.85,2)*0.34*0,0)</f>
        <v>0</v>
      </c>
      <c r="CX10" s="547">
        <v>0</v>
      </c>
      <c r="CY10" s="546">
        <f>ROUND(ROUND(3.5*0.85,2)*0.34*0,0)</f>
        <v>0</v>
      </c>
      <c r="CZ10" s="547">
        <v>0</v>
      </c>
      <c r="DA10" s="546">
        <f>ROUND(ROUND(3.5*0.85,2)*0.34*0,0)</f>
        <v>0</v>
      </c>
      <c r="DB10" s="547">
        <v>0</v>
      </c>
      <c r="DC10" s="546">
        <f>ROUND(ROUND(3.5*0.85,2)*0.34*0,0)</f>
        <v>0</v>
      </c>
      <c r="DD10" s="547">
        <v>0</v>
      </c>
      <c r="DE10" s="548">
        <f>ROUND(ROUND(3.5*0.85,2)*0.34*0,0)</f>
        <v>0</v>
      </c>
      <c r="DF10" s="549"/>
      <c r="DG10" s="539"/>
      <c r="DH10" s="540"/>
      <c r="DI10" s="541"/>
      <c r="DJ10" s="542"/>
      <c r="DK10" s="540"/>
      <c r="DL10" s="541"/>
      <c r="DM10" s="543">
        <v>0</v>
      </c>
      <c r="DN10" s="544">
        <f>ROUND(ROUND(3.5*0.85,2)*0.34*0,0)</f>
        <v>0</v>
      </c>
      <c r="DO10" s="545">
        <v>0</v>
      </c>
      <c r="DP10" s="546">
        <f>ROUND(ROUND(3.5*0.85,2)*0.34*0,0)</f>
        <v>0</v>
      </c>
      <c r="DQ10" s="547">
        <v>0</v>
      </c>
      <c r="DR10" s="546">
        <f>ROUND(ROUND(3.5*0.85,2)*0.34*0,0)</f>
        <v>0</v>
      </c>
      <c r="DS10" s="547">
        <v>0</v>
      </c>
      <c r="DT10" s="546">
        <f>ROUND(ROUND(3.5*0.85,2)*0.34*0,0)</f>
        <v>0</v>
      </c>
      <c r="DU10" s="547">
        <v>0</v>
      </c>
      <c r="DV10" s="546">
        <f>ROUND(ROUND(3.5*0.85,2)*0.34*0,0)</f>
        <v>0</v>
      </c>
      <c r="DW10" s="547">
        <v>0</v>
      </c>
      <c r="DX10" s="546">
        <f>ROUND(ROUND(3.5*0.85,2)*0.34*0,0)</f>
        <v>0</v>
      </c>
      <c r="DY10" s="547">
        <v>0</v>
      </c>
      <c r="DZ10" s="546">
        <f>ROUND(ROUND(3.5*0.85,2)*0.34*0,0)</f>
        <v>0</v>
      </c>
      <c r="EA10" s="547">
        <v>0</v>
      </c>
      <c r="EB10" s="546">
        <f>ROUND(ROUND(3.5*0.85,2)*0.34*0,0)</f>
        <v>0</v>
      </c>
      <c r="EC10" s="547">
        <v>55</v>
      </c>
      <c r="ED10" s="546">
        <f>ROUND(ROUND(3.5*0.85,2)*0.34*55,0)</f>
        <v>56</v>
      </c>
      <c r="EE10" s="547">
        <v>56</v>
      </c>
      <c r="EF10" s="546">
        <f>ROUND(ROUND(3.5*0.85,2)*0.34*56,0)</f>
        <v>57</v>
      </c>
      <c r="EG10" s="547">
        <v>57</v>
      </c>
      <c r="EH10" s="546">
        <f>ROUND(ROUND(3.5*0.85,2)*0.34*57,0)</f>
        <v>58</v>
      </c>
      <c r="EI10" s="547">
        <v>56</v>
      </c>
      <c r="EJ10" s="546">
        <f>ROUND(ROUND(3.5*0.85,2)*0.34*56,0)</f>
        <v>57</v>
      </c>
      <c r="EK10" s="547">
        <v>57</v>
      </c>
      <c r="EL10" s="546">
        <f>ROUND(ROUND(3.5*0.85,2)*0.34*57,0)</f>
        <v>58</v>
      </c>
      <c r="EM10" s="547">
        <v>56</v>
      </c>
      <c r="EN10" s="546">
        <f>ROUND(ROUND(3.5*0.85,2)*0.34*56,0)</f>
        <v>57</v>
      </c>
      <c r="EO10" s="547">
        <v>51</v>
      </c>
      <c r="EP10" s="546">
        <f>ROUND(ROUND(3.5*0.85,2)*0.34*51,0)</f>
        <v>52</v>
      </c>
      <c r="EQ10" s="547">
        <v>39</v>
      </c>
      <c r="ER10" s="546">
        <f>ROUND(ROUND(3.5*0.85,2)*0.34*39,0)</f>
        <v>40</v>
      </c>
      <c r="ES10" s="547">
        <v>19</v>
      </c>
      <c r="ET10" s="546">
        <f>ROUND(ROUND(3.5*0.85,2)*0.34*19,0)</f>
        <v>19</v>
      </c>
      <c r="EU10" s="547">
        <v>2</v>
      </c>
      <c r="EV10" s="546">
        <f>ROUND(ROUND(3.5*0.85,2)*0.34*2,0)</f>
        <v>2</v>
      </c>
      <c r="EW10" s="547">
        <v>0</v>
      </c>
      <c r="EX10" s="546">
        <f>ROUND(ROUND(3.5*0.85,2)*0.34*0,0)</f>
        <v>0</v>
      </c>
      <c r="EY10" s="547">
        <v>0</v>
      </c>
      <c r="EZ10" s="546">
        <f>ROUND(ROUND(3.5*0.85,2)*0.34*0,0)</f>
        <v>0</v>
      </c>
      <c r="FA10" s="547">
        <v>0</v>
      </c>
      <c r="FB10" s="546">
        <f>ROUND(ROUND(3.5*0.85,2)*0.34*0,0)</f>
        <v>0</v>
      </c>
      <c r="FC10" s="547">
        <v>0</v>
      </c>
      <c r="FD10" s="546">
        <f>ROUND(ROUND(3.5*0.85,2)*0.34*0,0)</f>
        <v>0</v>
      </c>
      <c r="FE10" s="547">
        <v>0</v>
      </c>
      <c r="FF10" s="546">
        <f>ROUND(ROUND(3.5*0.85,2)*0.34*0,0)</f>
        <v>0</v>
      </c>
      <c r="FG10" s="547">
        <v>0</v>
      </c>
      <c r="FH10" s="548">
        <f>ROUND(ROUND(3.5*0.85,2)*0.34*0,0)</f>
        <v>0</v>
      </c>
      <c r="FI10" s="550"/>
      <c r="FJ10" s="551"/>
      <c r="FK10" s="540"/>
      <c r="FL10" s="541"/>
      <c r="FM10" s="542"/>
      <c r="FN10" s="540"/>
      <c r="FO10" s="541"/>
      <c r="FP10" s="552"/>
      <c r="FQ10" s="545"/>
      <c r="FR10" s="544" t="s">
        <v>674</v>
      </c>
      <c r="FS10" s="553"/>
      <c r="FT10" s="545"/>
      <c r="FU10" s="554" t="s">
        <v>494</v>
      </c>
      <c r="FV10" s="1255" t="s">
        <v>276</v>
      </c>
      <c r="FW10" s="1282"/>
      <c r="FX10" s="1289" t="s">
        <v>277</v>
      </c>
      <c r="FY10" s="1284"/>
      <c r="FZ10" s="1290" t="s">
        <v>278</v>
      </c>
      <c r="GA10" s="1286"/>
      <c r="GB10" s="1291" t="s">
        <v>685</v>
      </c>
      <c r="GC10" s="1288"/>
      <c r="GD10" s="563" t="s">
        <v>565</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674</v>
      </c>
      <c r="FS11" s="578"/>
      <c r="FT11" s="573"/>
      <c r="FU11" s="579" t="s">
        <v>494</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494</v>
      </c>
      <c r="FS12" s="578"/>
      <c r="FT12" s="573"/>
      <c r="FU12" s="579" t="s">
        <v>674</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527</v>
      </c>
      <c r="FS13" s="613"/>
      <c r="FT13" s="608"/>
      <c r="FU13" s="614" t="s">
        <v>674</v>
      </c>
      <c r="FV13" s="580"/>
      <c r="FW13" s="581"/>
      <c r="FX13" s="582"/>
      <c r="FY13" s="583"/>
      <c r="FZ13" s="584"/>
      <c r="GA13" s="585"/>
      <c r="GB13" s="586"/>
      <c r="GC13" s="587"/>
      <c r="GD13" s="586"/>
      <c r="GE13" s="588"/>
      <c r="GF13" s="486"/>
      <c r="GG13" s="589"/>
      <c r="GH13" s="589"/>
      <c r="GI13" s="589"/>
      <c r="GJ13" s="404"/>
      <c r="GK13" s="615">
        <v>210</v>
      </c>
      <c r="GL13" s="616"/>
      <c r="GM13" s="617" t="s">
        <v>431</v>
      </c>
      <c r="GN13" s="618">
        <v>3.5</v>
      </c>
      <c r="GO13" s="619">
        <v>0</v>
      </c>
      <c r="GP13" s="619">
        <v>1</v>
      </c>
      <c r="GQ13" s="620">
        <v>0</v>
      </c>
      <c r="GR13" s="621">
        <v>3.5</v>
      </c>
      <c r="GS13" s="565"/>
      <c r="GT13" s="404"/>
      <c r="GU13" s="615">
        <v>210</v>
      </c>
      <c r="GV13" s="616"/>
      <c r="GW13" s="622" t="s">
        <v>640</v>
      </c>
      <c r="GX13" s="623">
        <v>3.5</v>
      </c>
      <c r="GY13" s="624"/>
      <c r="GZ13" s="625">
        <v>0</v>
      </c>
      <c r="HA13" s="626">
        <v>0</v>
      </c>
      <c r="HB13" s="627"/>
      <c r="HC13" s="517"/>
      <c r="HD13" s="782"/>
      <c r="HE13" s="428"/>
      <c r="HF13" s="377"/>
      <c r="HG13" s="377"/>
    </row>
    <row r="14" spans="1:353" ht="20.100000000000001" customHeight="1">
      <c r="A14" s="628"/>
      <c r="B14" s="629"/>
      <c r="C14" s="629"/>
      <c r="D14" s="630" t="s">
        <v>496</v>
      </c>
      <c r="E14" s="629"/>
      <c r="F14" s="629"/>
      <c r="G14" s="1263"/>
      <c r="H14" s="1264">
        <f>SUM(H10:H13)</f>
        <v>0</v>
      </c>
      <c r="I14" s="1292"/>
      <c r="J14" s="1264">
        <f>SUM(J10:J13)</f>
        <v>0</v>
      </c>
      <c r="K14" s="1292"/>
      <c r="L14" s="1264">
        <f>SUM(L10:L13)</f>
        <v>0</v>
      </c>
      <c r="M14" s="1292"/>
      <c r="N14" s="1264">
        <f>SUM(N10:N13)</f>
        <v>0</v>
      </c>
      <c r="O14" s="1292"/>
      <c r="P14" s="1264">
        <f>SUM(P10:P13)</f>
        <v>0</v>
      </c>
      <c r="Q14" s="1292"/>
      <c r="R14" s="1264">
        <f>SUM(R10:R13)</f>
        <v>0</v>
      </c>
      <c r="S14" s="1292"/>
      <c r="T14" s="1264">
        <f>SUM(T10:T13)</f>
        <v>0</v>
      </c>
      <c r="U14" s="1292"/>
      <c r="V14" s="1264">
        <f>SUM(V10:V13)</f>
        <v>0</v>
      </c>
      <c r="W14" s="1292"/>
      <c r="X14" s="1264">
        <f>SUM(X10:X13)</f>
        <v>87</v>
      </c>
      <c r="Y14" s="1292"/>
      <c r="Z14" s="1264">
        <f>SUM(Z10:Z13)</f>
        <v>94</v>
      </c>
      <c r="AA14" s="1292"/>
      <c r="AB14" s="1264">
        <f>SUM(AB10:AB13)</f>
        <v>96</v>
      </c>
      <c r="AC14" s="1292"/>
      <c r="AD14" s="1264">
        <f>SUM(AD10:AD13)</f>
        <v>95</v>
      </c>
      <c r="AE14" s="1292"/>
      <c r="AF14" s="1264">
        <f>SUM(AF10:AF13)</f>
        <v>94</v>
      </c>
      <c r="AG14" s="1292"/>
      <c r="AH14" s="1264">
        <f>SUM(AH10:AH13)</f>
        <v>91</v>
      </c>
      <c r="AI14" s="1292"/>
      <c r="AJ14" s="1264">
        <f>SUM(AJ10:AJ13)</f>
        <v>81</v>
      </c>
      <c r="AK14" s="1292"/>
      <c r="AL14" s="1264">
        <f>SUM(AL10:AL13)</f>
        <v>64</v>
      </c>
      <c r="AM14" s="1292"/>
      <c r="AN14" s="1264">
        <f>SUM(AN10:AN13)</f>
        <v>63</v>
      </c>
      <c r="AO14" s="1292"/>
      <c r="AP14" s="1264">
        <f>SUM(AP10:AP13)</f>
        <v>26</v>
      </c>
      <c r="AQ14" s="1292"/>
      <c r="AR14" s="1264">
        <f>SUM(AR10:AR13)</f>
        <v>0</v>
      </c>
      <c r="AS14" s="1292"/>
      <c r="AT14" s="1264">
        <f>SUM(AT10:AT13)</f>
        <v>0</v>
      </c>
      <c r="AU14" s="1292"/>
      <c r="AV14" s="1264">
        <f>SUM(AV10:AV13)</f>
        <v>0</v>
      </c>
      <c r="AW14" s="1292"/>
      <c r="AX14" s="1264">
        <f>SUM(AX10:AX13)</f>
        <v>0</v>
      </c>
      <c r="AY14" s="1292"/>
      <c r="AZ14" s="1264">
        <f>SUM(AZ10:AZ13)</f>
        <v>0</v>
      </c>
      <c r="BA14" s="1292"/>
      <c r="BB14" s="1266">
        <f>SUM(BB10:BB13)</f>
        <v>0</v>
      </c>
      <c r="BC14" s="635"/>
      <c r="BD14" s="628"/>
      <c r="BE14" s="629"/>
      <c r="BF14" s="629"/>
      <c r="BG14" s="630" t="s">
        <v>675</v>
      </c>
      <c r="BH14" s="629"/>
      <c r="BI14" s="629"/>
      <c r="BJ14" s="1263"/>
      <c r="BK14" s="1264">
        <f>SUM(BK10:BK13)</f>
        <v>0</v>
      </c>
      <c r="BL14" s="1292"/>
      <c r="BM14" s="1264">
        <f>SUM(BM10:BM13)</f>
        <v>0</v>
      </c>
      <c r="BN14" s="1292"/>
      <c r="BO14" s="1264">
        <f>SUM(BO10:BO13)</f>
        <v>0</v>
      </c>
      <c r="BP14" s="1292"/>
      <c r="BQ14" s="1264">
        <f>SUM(BQ10:BQ13)</f>
        <v>0</v>
      </c>
      <c r="BR14" s="1292"/>
      <c r="BS14" s="1264">
        <f>SUM(BS10:BS13)</f>
        <v>0</v>
      </c>
      <c r="BT14" s="1292"/>
      <c r="BU14" s="1264">
        <f>SUM(BU10:BU13)</f>
        <v>0</v>
      </c>
      <c r="BV14" s="1292"/>
      <c r="BW14" s="1264">
        <f>SUM(BW10:BW13)</f>
        <v>0</v>
      </c>
      <c r="BX14" s="1292"/>
      <c r="BY14" s="1264">
        <f>SUM(BY10:BY13)</f>
        <v>0</v>
      </c>
      <c r="BZ14" s="1292"/>
      <c r="CA14" s="1264">
        <f>SUM(CA10:CA13)</f>
        <v>65</v>
      </c>
      <c r="CB14" s="1292"/>
      <c r="CC14" s="1264">
        <f>SUM(CC10:CC13)</f>
        <v>65</v>
      </c>
      <c r="CD14" s="1292"/>
      <c r="CE14" s="1264">
        <f>SUM(CE10:CE13)</f>
        <v>62</v>
      </c>
      <c r="CF14" s="1292"/>
      <c r="CG14" s="1264">
        <f>SUM(CG10:CG13)</f>
        <v>60</v>
      </c>
      <c r="CH14" s="1292"/>
      <c r="CI14" s="1264">
        <f>SUM(CI10:CI13)</f>
        <v>64</v>
      </c>
      <c r="CJ14" s="1292"/>
      <c r="CK14" s="1264">
        <f>SUM(CK10:CK13)</f>
        <v>66</v>
      </c>
      <c r="CL14" s="1292"/>
      <c r="CM14" s="1264">
        <f>SUM(CM10:CM13)</f>
        <v>64</v>
      </c>
      <c r="CN14" s="1292"/>
      <c r="CO14" s="1264">
        <f>SUM(CO10:CO13)</f>
        <v>52</v>
      </c>
      <c r="CP14" s="1292"/>
      <c r="CQ14" s="1264">
        <f>SUM(CQ10:CQ13)</f>
        <v>93</v>
      </c>
      <c r="CR14" s="1292"/>
      <c r="CS14" s="1264">
        <f>SUM(CS10:CS13)</f>
        <v>82</v>
      </c>
      <c r="CT14" s="1292"/>
      <c r="CU14" s="1264">
        <f>SUM(CU10:CU13)</f>
        <v>0</v>
      </c>
      <c r="CV14" s="1292"/>
      <c r="CW14" s="1264">
        <f>SUM(CW10:CW13)</f>
        <v>0</v>
      </c>
      <c r="CX14" s="1292"/>
      <c r="CY14" s="1264">
        <f>SUM(CY10:CY13)</f>
        <v>0</v>
      </c>
      <c r="CZ14" s="1292"/>
      <c r="DA14" s="1264">
        <f>SUM(DA10:DA13)</f>
        <v>0</v>
      </c>
      <c r="DB14" s="1292"/>
      <c r="DC14" s="1264">
        <f>SUM(DC10:DC13)</f>
        <v>0</v>
      </c>
      <c r="DD14" s="1292"/>
      <c r="DE14" s="1266">
        <f>SUM(DE10:DE13)</f>
        <v>0</v>
      </c>
      <c r="DF14" s="635"/>
      <c r="DG14" s="628"/>
      <c r="DH14" s="629"/>
      <c r="DI14" s="629"/>
      <c r="DJ14" s="630" t="s">
        <v>675</v>
      </c>
      <c r="DK14" s="629"/>
      <c r="DL14" s="629"/>
      <c r="DM14" s="1263"/>
      <c r="DN14" s="1264">
        <f>SUM(DN10:DN13)</f>
        <v>0</v>
      </c>
      <c r="DO14" s="1292"/>
      <c r="DP14" s="1264">
        <f>SUM(DP10:DP13)</f>
        <v>0</v>
      </c>
      <c r="DQ14" s="1292"/>
      <c r="DR14" s="1264">
        <f>SUM(DR10:DR13)</f>
        <v>0</v>
      </c>
      <c r="DS14" s="1292"/>
      <c r="DT14" s="1264">
        <f>SUM(DT10:DT13)</f>
        <v>0</v>
      </c>
      <c r="DU14" s="1292"/>
      <c r="DV14" s="1264">
        <f>SUM(DV10:DV13)</f>
        <v>0</v>
      </c>
      <c r="DW14" s="1292"/>
      <c r="DX14" s="1264">
        <f>SUM(DX10:DX13)</f>
        <v>0</v>
      </c>
      <c r="DY14" s="1292"/>
      <c r="DZ14" s="1264">
        <f>SUM(DZ10:DZ13)</f>
        <v>0</v>
      </c>
      <c r="EA14" s="1292"/>
      <c r="EB14" s="1264">
        <f>SUM(EB10:EB13)</f>
        <v>0</v>
      </c>
      <c r="EC14" s="1292"/>
      <c r="ED14" s="1264">
        <f>SUM(ED10:ED13)</f>
        <v>56</v>
      </c>
      <c r="EE14" s="1292"/>
      <c r="EF14" s="1264">
        <f>SUM(EF10:EF13)</f>
        <v>57</v>
      </c>
      <c r="EG14" s="1292"/>
      <c r="EH14" s="1264">
        <f>SUM(EH10:EH13)</f>
        <v>58</v>
      </c>
      <c r="EI14" s="1292"/>
      <c r="EJ14" s="1264">
        <f>SUM(EJ10:EJ13)</f>
        <v>57</v>
      </c>
      <c r="EK14" s="1292"/>
      <c r="EL14" s="1264">
        <f>SUM(EL10:EL13)</f>
        <v>58</v>
      </c>
      <c r="EM14" s="1292"/>
      <c r="EN14" s="1264">
        <f>SUM(EN10:EN13)</f>
        <v>57</v>
      </c>
      <c r="EO14" s="1292"/>
      <c r="EP14" s="1264">
        <f>SUM(EP10:EP13)</f>
        <v>52</v>
      </c>
      <c r="EQ14" s="1292"/>
      <c r="ER14" s="1264">
        <f>SUM(ER10:ER13)</f>
        <v>40</v>
      </c>
      <c r="ES14" s="1292"/>
      <c r="ET14" s="1264">
        <f>SUM(ET10:ET13)</f>
        <v>19</v>
      </c>
      <c r="EU14" s="1292"/>
      <c r="EV14" s="1264">
        <f>SUM(EV10:EV13)</f>
        <v>2</v>
      </c>
      <c r="EW14" s="1292"/>
      <c r="EX14" s="1264">
        <f>SUM(EX10:EX13)</f>
        <v>0</v>
      </c>
      <c r="EY14" s="1292"/>
      <c r="EZ14" s="1264">
        <f>SUM(EZ10:EZ13)</f>
        <v>0</v>
      </c>
      <c r="FA14" s="1292"/>
      <c r="FB14" s="1264">
        <f>SUM(FB10:FB13)</f>
        <v>0</v>
      </c>
      <c r="FC14" s="1292"/>
      <c r="FD14" s="1264">
        <f>SUM(FD10:FD13)</f>
        <v>0</v>
      </c>
      <c r="FE14" s="1292"/>
      <c r="FF14" s="1264">
        <f>SUM(FF10:FF13)</f>
        <v>0</v>
      </c>
      <c r="FG14" s="1292"/>
      <c r="FH14" s="1266">
        <f>SUM(FH10:FH13)</f>
        <v>0</v>
      </c>
      <c r="FI14" s="636"/>
      <c r="FJ14" s="551"/>
      <c r="FK14" s="629"/>
      <c r="FL14" s="629"/>
      <c r="FM14" s="630" t="s">
        <v>676</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670</v>
      </c>
      <c r="E15" s="647" t="s">
        <v>285</v>
      </c>
      <c r="F15" s="648" t="s">
        <v>104</v>
      </c>
      <c r="G15" s="649" t="s">
        <v>677</v>
      </c>
      <c r="H15" s="650" t="s">
        <v>532</v>
      </c>
      <c r="I15" s="651" t="s">
        <v>288</v>
      </c>
      <c r="J15" s="650" t="s">
        <v>678</v>
      </c>
      <c r="K15" s="651" t="s">
        <v>288</v>
      </c>
      <c r="L15" s="650" t="s">
        <v>502</v>
      </c>
      <c r="M15" s="651" t="s">
        <v>288</v>
      </c>
      <c r="N15" s="650" t="s">
        <v>679</v>
      </c>
      <c r="O15" s="651" t="s">
        <v>288</v>
      </c>
      <c r="P15" s="650" t="s">
        <v>679</v>
      </c>
      <c r="Q15" s="651" t="s">
        <v>288</v>
      </c>
      <c r="R15" s="650" t="s">
        <v>679</v>
      </c>
      <c r="S15" s="651" t="s">
        <v>288</v>
      </c>
      <c r="T15" s="650" t="s">
        <v>502</v>
      </c>
      <c r="U15" s="651" t="s">
        <v>288</v>
      </c>
      <c r="V15" s="650" t="s">
        <v>679</v>
      </c>
      <c r="W15" s="651" t="s">
        <v>288</v>
      </c>
      <c r="X15" s="650" t="s">
        <v>502</v>
      </c>
      <c r="Y15" s="651" t="s">
        <v>288</v>
      </c>
      <c r="Z15" s="650" t="s">
        <v>679</v>
      </c>
      <c r="AA15" s="651" t="s">
        <v>288</v>
      </c>
      <c r="AB15" s="650" t="s">
        <v>679</v>
      </c>
      <c r="AC15" s="651" t="s">
        <v>288</v>
      </c>
      <c r="AD15" s="650" t="s">
        <v>502</v>
      </c>
      <c r="AE15" s="651" t="s">
        <v>288</v>
      </c>
      <c r="AF15" s="650" t="s">
        <v>502</v>
      </c>
      <c r="AG15" s="651" t="s">
        <v>288</v>
      </c>
      <c r="AH15" s="650" t="s">
        <v>502</v>
      </c>
      <c r="AI15" s="651" t="s">
        <v>288</v>
      </c>
      <c r="AJ15" s="650" t="s">
        <v>532</v>
      </c>
      <c r="AK15" s="651" t="s">
        <v>288</v>
      </c>
      <c r="AL15" s="650" t="s">
        <v>678</v>
      </c>
      <c r="AM15" s="651" t="s">
        <v>288</v>
      </c>
      <c r="AN15" s="650" t="s">
        <v>532</v>
      </c>
      <c r="AO15" s="651" t="s">
        <v>288</v>
      </c>
      <c r="AP15" s="650" t="s">
        <v>532</v>
      </c>
      <c r="AQ15" s="651" t="s">
        <v>288</v>
      </c>
      <c r="AR15" s="650" t="s">
        <v>679</v>
      </c>
      <c r="AS15" s="651" t="s">
        <v>288</v>
      </c>
      <c r="AT15" s="650" t="s">
        <v>532</v>
      </c>
      <c r="AU15" s="651" t="s">
        <v>288</v>
      </c>
      <c r="AV15" s="650" t="s">
        <v>678</v>
      </c>
      <c r="AW15" s="651" t="s">
        <v>288</v>
      </c>
      <c r="AX15" s="650" t="s">
        <v>679</v>
      </c>
      <c r="AY15" s="651" t="s">
        <v>288</v>
      </c>
      <c r="AZ15" s="650" t="s">
        <v>502</v>
      </c>
      <c r="BA15" s="651" t="s">
        <v>288</v>
      </c>
      <c r="BB15" s="652" t="s">
        <v>291</v>
      </c>
      <c r="BC15" s="653"/>
      <c r="BD15" s="519" t="s">
        <v>283</v>
      </c>
      <c r="BE15" s="645" t="s">
        <v>261</v>
      </c>
      <c r="BF15" s="646" t="s">
        <v>262</v>
      </c>
      <c r="BG15" s="647" t="s">
        <v>680</v>
      </c>
      <c r="BH15" s="647" t="s">
        <v>285</v>
      </c>
      <c r="BI15" s="648" t="s">
        <v>104</v>
      </c>
      <c r="BJ15" s="649" t="s">
        <v>677</v>
      </c>
      <c r="BK15" s="650" t="s">
        <v>502</v>
      </c>
      <c r="BL15" s="651" t="s">
        <v>288</v>
      </c>
      <c r="BM15" s="650" t="s">
        <v>679</v>
      </c>
      <c r="BN15" s="651" t="s">
        <v>288</v>
      </c>
      <c r="BO15" s="650" t="s">
        <v>502</v>
      </c>
      <c r="BP15" s="651" t="s">
        <v>288</v>
      </c>
      <c r="BQ15" s="650" t="s">
        <v>679</v>
      </c>
      <c r="BR15" s="651" t="s">
        <v>288</v>
      </c>
      <c r="BS15" s="650" t="s">
        <v>532</v>
      </c>
      <c r="BT15" s="651" t="s">
        <v>288</v>
      </c>
      <c r="BU15" s="650" t="s">
        <v>502</v>
      </c>
      <c r="BV15" s="651" t="s">
        <v>288</v>
      </c>
      <c r="BW15" s="650" t="s">
        <v>679</v>
      </c>
      <c r="BX15" s="651" t="s">
        <v>288</v>
      </c>
      <c r="BY15" s="650" t="s">
        <v>679</v>
      </c>
      <c r="BZ15" s="651" t="s">
        <v>288</v>
      </c>
      <c r="CA15" s="650" t="s">
        <v>679</v>
      </c>
      <c r="CB15" s="651" t="s">
        <v>288</v>
      </c>
      <c r="CC15" s="650" t="s">
        <v>502</v>
      </c>
      <c r="CD15" s="651" t="s">
        <v>288</v>
      </c>
      <c r="CE15" s="650" t="s">
        <v>502</v>
      </c>
      <c r="CF15" s="651" t="s">
        <v>288</v>
      </c>
      <c r="CG15" s="650" t="s">
        <v>679</v>
      </c>
      <c r="CH15" s="651" t="s">
        <v>288</v>
      </c>
      <c r="CI15" s="650" t="s">
        <v>679</v>
      </c>
      <c r="CJ15" s="651" t="s">
        <v>288</v>
      </c>
      <c r="CK15" s="650" t="s">
        <v>502</v>
      </c>
      <c r="CL15" s="651" t="s">
        <v>288</v>
      </c>
      <c r="CM15" s="650" t="s">
        <v>679</v>
      </c>
      <c r="CN15" s="651" t="s">
        <v>288</v>
      </c>
      <c r="CO15" s="650" t="s">
        <v>532</v>
      </c>
      <c r="CP15" s="651" t="s">
        <v>288</v>
      </c>
      <c r="CQ15" s="650" t="s">
        <v>679</v>
      </c>
      <c r="CR15" s="651" t="s">
        <v>288</v>
      </c>
      <c r="CS15" s="650" t="s">
        <v>532</v>
      </c>
      <c r="CT15" s="651" t="s">
        <v>288</v>
      </c>
      <c r="CU15" s="650" t="s">
        <v>678</v>
      </c>
      <c r="CV15" s="651" t="s">
        <v>288</v>
      </c>
      <c r="CW15" s="650" t="s">
        <v>679</v>
      </c>
      <c r="CX15" s="651" t="s">
        <v>288</v>
      </c>
      <c r="CY15" s="650" t="s">
        <v>532</v>
      </c>
      <c r="CZ15" s="651" t="s">
        <v>288</v>
      </c>
      <c r="DA15" s="650" t="s">
        <v>532</v>
      </c>
      <c r="DB15" s="651" t="s">
        <v>288</v>
      </c>
      <c r="DC15" s="650" t="s">
        <v>679</v>
      </c>
      <c r="DD15" s="651" t="s">
        <v>288</v>
      </c>
      <c r="DE15" s="652" t="s">
        <v>291</v>
      </c>
      <c r="DF15" s="653"/>
      <c r="DG15" s="519" t="s">
        <v>283</v>
      </c>
      <c r="DH15" s="645" t="s">
        <v>261</v>
      </c>
      <c r="DI15" s="646" t="s">
        <v>262</v>
      </c>
      <c r="DJ15" s="647" t="s">
        <v>670</v>
      </c>
      <c r="DK15" s="647" t="s">
        <v>285</v>
      </c>
      <c r="DL15" s="648" t="s">
        <v>104</v>
      </c>
      <c r="DM15" s="649" t="s">
        <v>677</v>
      </c>
      <c r="DN15" s="650" t="s">
        <v>679</v>
      </c>
      <c r="DO15" s="651" t="s">
        <v>288</v>
      </c>
      <c r="DP15" s="650" t="s">
        <v>679</v>
      </c>
      <c r="DQ15" s="651" t="s">
        <v>288</v>
      </c>
      <c r="DR15" s="650" t="s">
        <v>679</v>
      </c>
      <c r="DS15" s="651" t="s">
        <v>288</v>
      </c>
      <c r="DT15" s="650" t="s">
        <v>679</v>
      </c>
      <c r="DU15" s="651" t="s">
        <v>288</v>
      </c>
      <c r="DV15" s="650" t="s">
        <v>679</v>
      </c>
      <c r="DW15" s="651" t="s">
        <v>288</v>
      </c>
      <c r="DX15" s="650" t="s">
        <v>679</v>
      </c>
      <c r="DY15" s="651" t="s">
        <v>288</v>
      </c>
      <c r="DZ15" s="650" t="s">
        <v>679</v>
      </c>
      <c r="EA15" s="651" t="s">
        <v>288</v>
      </c>
      <c r="EB15" s="650" t="s">
        <v>679</v>
      </c>
      <c r="EC15" s="651" t="s">
        <v>288</v>
      </c>
      <c r="ED15" s="650" t="s">
        <v>502</v>
      </c>
      <c r="EE15" s="651" t="s">
        <v>288</v>
      </c>
      <c r="EF15" s="650" t="s">
        <v>502</v>
      </c>
      <c r="EG15" s="651" t="s">
        <v>288</v>
      </c>
      <c r="EH15" s="650" t="s">
        <v>678</v>
      </c>
      <c r="EI15" s="651" t="s">
        <v>288</v>
      </c>
      <c r="EJ15" s="650" t="s">
        <v>679</v>
      </c>
      <c r="EK15" s="651" t="s">
        <v>288</v>
      </c>
      <c r="EL15" s="650" t="s">
        <v>679</v>
      </c>
      <c r="EM15" s="651" t="s">
        <v>288</v>
      </c>
      <c r="EN15" s="650" t="s">
        <v>502</v>
      </c>
      <c r="EO15" s="651" t="s">
        <v>288</v>
      </c>
      <c r="EP15" s="650" t="s">
        <v>502</v>
      </c>
      <c r="EQ15" s="651" t="s">
        <v>288</v>
      </c>
      <c r="ER15" s="650" t="s">
        <v>679</v>
      </c>
      <c r="ES15" s="651" t="s">
        <v>288</v>
      </c>
      <c r="ET15" s="650" t="s">
        <v>532</v>
      </c>
      <c r="EU15" s="651" t="s">
        <v>288</v>
      </c>
      <c r="EV15" s="650" t="s">
        <v>502</v>
      </c>
      <c r="EW15" s="651" t="s">
        <v>288</v>
      </c>
      <c r="EX15" s="650" t="s">
        <v>502</v>
      </c>
      <c r="EY15" s="651" t="s">
        <v>288</v>
      </c>
      <c r="EZ15" s="650" t="s">
        <v>502</v>
      </c>
      <c r="FA15" s="651" t="s">
        <v>288</v>
      </c>
      <c r="FB15" s="650" t="s">
        <v>679</v>
      </c>
      <c r="FC15" s="651" t="s">
        <v>288</v>
      </c>
      <c r="FD15" s="650" t="s">
        <v>502</v>
      </c>
      <c r="FE15" s="651" t="s">
        <v>288</v>
      </c>
      <c r="FF15" s="650" t="s">
        <v>502</v>
      </c>
      <c r="FG15" s="651" t="s">
        <v>288</v>
      </c>
      <c r="FH15" s="652" t="s">
        <v>291</v>
      </c>
      <c r="FI15" s="654"/>
      <c r="FJ15" s="529" t="s">
        <v>283</v>
      </c>
      <c r="FK15" s="645" t="s">
        <v>261</v>
      </c>
      <c r="FL15" s="646" t="s">
        <v>262</v>
      </c>
      <c r="FM15" s="647" t="s">
        <v>499</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229</v>
      </c>
      <c r="C16" s="662" t="s">
        <v>73</v>
      </c>
      <c r="D16" s="542">
        <v>3.5</v>
      </c>
      <c r="E16" s="663" t="s">
        <v>325</v>
      </c>
      <c r="F16" s="664"/>
      <c r="G16" s="665">
        <v>0</v>
      </c>
      <c r="H16" s="546">
        <f>ROUND(3.5*2.1*0,0)</f>
        <v>0</v>
      </c>
      <c r="I16" s="666">
        <v>0</v>
      </c>
      <c r="J16" s="546">
        <f>ROUND(3.5*2.1*0,0)</f>
        <v>0</v>
      </c>
      <c r="K16" s="666">
        <v>0</v>
      </c>
      <c r="L16" s="546">
        <f>ROUND(3.5*2.1*0,0)</f>
        <v>0</v>
      </c>
      <c r="M16" s="666">
        <v>0</v>
      </c>
      <c r="N16" s="546">
        <f>ROUND(3.5*2.1*0,0)</f>
        <v>0</v>
      </c>
      <c r="O16" s="666">
        <v>0</v>
      </c>
      <c r="P16" s="546">
        <f>ROUND(3.5*2.1*0,0)</f>
        <v>0</v>
      </c>
      <c r="Q16" s="666">
        <v>0</v>
      </c>
      <c r="R16" s="546">
        <f>ROUND(3.5*2.1*0,0)</f>
        <v>0</v>
      </c>
      <c r="S16" s="666">
        <v>0</v>
      </c>
      <c r="T16" s="546">
        <f>ROUND(3.5*2.1*0,0)</f>
        <v>0</v>
      </c>
      <c r="U16" s="666">
        <v>0</v>
      </c>
      <c r="V16" s="546">
        <f>ROUND(3.5*2.1*0,0)</f>
        <v>0</v>
      </c>
      <c r="W16" s="666">
        <v>3.3</v>
      </c>
      <c r="X16" s="546">
        <f>ROUND(3.5*2.1*3.3,0)</f>
        <v>24</v>
      </c>
      <c r="Y16" s="666">
        <v>4.5</v>
      </c>
      <c r="Z16" s="546">
        <f>ROUND(3.5*2.1*4.5,0)</f>
        <v>33</v>
      </c>
      <c r="AA16" s="666">
        <v>5.2</v>
      </c>
      <c r="AB16" s="546">
        <f>ROUND(3.5*2.1*5.2,0)</f>
        <v>38</v>
      </c>
      <c r="AC16" s="666">
        <v>5.7</v>
      </c>
      <c r="AD16" s="546">
        <f>ROUND(3.5*2.1*5.7,0)</f>
        <v>42</v>
      </c>
      <c r="AE16" s="666">
        <v>5.9</v>
      </c>
      <c r="AF16" s="546">
        <f>ROUND(3.5*2.1*5.9,0)</f>
        <v>43</v>
      </c>
      <c r="AG16" s="666">
        <v>5.9</v>
      </c>
      <c r="AH16" s="546">
        <f>ROUND(3.5*2.1*5.9,0)</f>
        <v>43</v>
      </c>
      <c r="AI16" s="666">
        <v>5.4</v>
      </c>
      <c r="AJ16" s="546">
        <f>ROUND(3.5*2.1*5.4,0)</f>
        <v>40</v>
      </c>
      <c r="AK16" s="666">
        <v>4.9000000000000004</v>
      </c>
      <c r="AL16" s="546">
        <f>ROUND(3.5*2.1*4.9,0)</f>
        <v>36</v>
      </c>
      <c r="AM16" s="666">
        <v>4</v>
      </c>
      <c r="AN16" s="546">
        <f>ROUND(3.5*2.1*4,0)</f>
        <v>29</v>
      </c>
      <c r="AO16" s="666">
        <v>3.3</v>
      </c>
      <c r="AP16" s="546">
        <f>ROUND(3.5*2.1*3.3,0)</f>
        <v>24</v>
      </c>
      <c r="AQ16" s="666">
        <v>0</v>
      </c>
      <c r="AR16" s="546">
        <f>ROUND(3.5*2.1*0,0)</f>
        <v>0</v>
      </c>
      <c r="AS16" s="666">
        <v>0</v>
      </c>
      <c r="AT16" s="546">
        <f>ROUND(3.5*2.1*0,0)</f>
        <v>0</v>
      </c>
      <c r="AU16" s="666">
        <v>0</v>
      </c>
      <c r="AV16" s="546">
        <f>ROUND(3.5*2.1*0,0)</f>
        <v>0</v>
      </c>
      <c r="AW16" s="666">
        <v>0</v>
      </c>
      <c r="AX16" s="546">
        <f>ROUND(3.5*2.1*0,0)</f>
        <v>0</v>
      </c>
      <c r="AY16" s="666">
        <v>0</v>
      </c>
      <c r="AZ16" s="546">
        <f>ROUND(3.5*2.1*0,0)</f>
        <v>0</v>
      </c>
      <c r="BA16" s="666">
        <v>0</v>
      </c>
      <c r="BB16" s="667">
        <f>ROUND(3.5*2.1*0,0)</f>
        <v>0</v>
      </c>
      <c r="BC16" s="549"/>
      <c r="BD16" s="539"/>
      <c r="BE16" s="541" t="s">
        <v>229</v>
      </c>
      <c r="BF16" s="662" t="s">
        <v>73</v>
      </c>
      <c r="BG16" s="542">
        <v>3.5</v>
      </c>
      <c r="BH16" s="663" t="s">
        <v>325</v>
      </c>
      <c r="BI16" s="664"/>
      <c r="BJ16" s="665">
        <v>0</v>
      </c>
      <c r="BK16" s="546">
        <f>ROUND(3.5*2.1*0,0)</f>
        <v>0</v>
      </c>
      <c r="BL16" s="666">
        <v>0</v>
      </c>
      <c r="BM16" s="546">
        <f>ROUND(3.5*2.1*0,0)</f>
        <v>0</v>
      </c>
      <c r="BN16" s="666">
        <v>0</v>
      </c>
      <c r="BO16" s="546">
        <f>ROUND(3.5*2.1*0,0)</f>
        <v>0</v>
      </c>
      <c r="BP16" s="666">
        <v>0</v>
      </c>
      <c r="BQ16" s="546">
        <f>ROUND(3.5*2.1*0,0)</f>
        <v>0</v>
      </c>
      <c r="BR16" s="666">
        <v>0</v>
      </c>
      <c r="BS16" s="546">
        <f>ROUND(3.5*2.1*0,0)</f>
        <v>0</v>
      </c>
      <c r="BT16" s="666">
        <v>0</v>
      </c>
      <c r="BU16" s="546">
        <f>ROUND(3.5*2.1*0,0)</f>
        <v>0</v>
      </c>
      <c r="BV16" s="666">
        <v>0</v>
      </c>
      <c r="BW16" s="546">
        <f>ROUND(3.5*2.1*0,0)</f>
        <v>0</v>
      </c>
      <c r="BX16" s="666">
        <v>0</v>
      </c>
      <c r="BY16" s="546">
        <f>ROUND(3.5*2.1*0,0)</f>
        <v>0</v>
      </c>
      <c r="BZ16" s="666">
        <v>3.1</v>
      </c>
      <c r="CA16" s="546">
        <f>ROUND(3.5*2.1*3.1,0)</f>
        <v>23</v>
      </c>
      <c r="CB16" s="666">
        <v>4.0999999999999996</v>
      </c>
      <c r="CC16" s="546">
        <f>ROUND(3.5*2.1*4.1,0)</f>
        <v>30</v>
      </c>
      <c r="CD16" s="666">
        <v>5</v>
      </c>
      <c r="CE16" s="546">
        <f>ROUND(3.5*2.1*5,0)</f>
        <v>37</v>
      </c>
      <c r="CF16" s="666">
        <v>5.4</v>
      </c>
      <c r="CG16" s="546">
        <f>ROUND(3.5*2.1*5.4,0)</f>
        <v>40</v>
      </c>
      <c r="CH16" s="666">
        <v>5.6</v>
      </c>
      <c r="CI16" s="546">
        <f>ROUND(3.5*2.1*5.6,0)</f>
        <v>41</v>
      </c>
      <c r="CJ16" s="666">
        <v>5.4</v>
      </c>
      <c r="CK16" s="546">
        <f>ROUND(3.5*2.1*5.4,0)</f>
        <v>40</v>
      </c>
      <c r="CL16" s="666">
        <v>4.9000000000000004</v>
      </c>
      <c r="CM16" s="546">
        <f>ROUND(3.5*2.1*4.9,0)</f>
        <v>36</v>
      </c>
      <c r="CN16" s="666">
        <v>4.5</v>
      </c>
      <c r="CO16" s="546">
        <f>ROUND(3.5*2.1*4.5,0)</f>
        <v>33</v>
      </c>
      <c r="CP16" s="666">
        <v>4</v>
      </c>
      <c r="CQ16" s="546">
        <f>ROUND(3.5*2.1*4,0)</f>
        <v>29</v>
      </c>
      <c r="CR16" s="666">
        <v>3.1</v>
      </c>
      <c r="CS16" s="546">
        <f>ROUND(3.5*2.1*3.1,0)</f>
        <v>23</v>
      </c>
      <c r="CT16" s="666">
        <v>0</v>
      </c>
      <c r="CU16" s="546">
        <f>ROUND(3.5*2.1*0,0)</f>
        <v>0</v>
      </c>
      <c r="CV16" s="666">
        <v>0</v>
      </c>
      <c r="CW16" s="546">
        <f>ROUND(3.5*2.1*0,0)</f>
        <v>0</v>
      </c>
      <c r="CX16" s="666">
        <v>0</v>
      </c>
      <c r="CY16" s="546">
        <f>ROUND(3.5*2.1*0,0)</f>
        <v>0</v>
      </c>
      <c r="CZ16" s="666">
        <v>0</v>
      </c>
      <c r="DA16" s="546">
        <f>ROUND(3.5*2.1*0,0)</f>
        <v>0</v>
      </c>
      <c r="DB16" s="666">
        <v>0</v>
      </c>
      <c r="DC16" s="546">
        <f>ROUND(3.5*2.1*0,0)</f>
        <v>0</v>
      </c>
      <c r="DD16" s="666">
        <v>0</v>
      </c>
      <c r="DE16" s="667">
        <f>ROUND(3.5*2.1*0,0)</f>
        <v>0</v>
      </c>
      <c r="DF16" s="549"/>
      <c r="DG16" s="539"/>
      <c r="DH16" s="541" t="s">
        <v>229</v>
      </c>
      <c r="DI16" s="662" t="s">
        <v>73</v>
      </c>
      <c r="DJ16" s="542">
        <v>3.5</v>
      </c>
      <c r="DK16" s="663" t="s">
        <v>325</v>
      </c>
      <c r="DL16" s="664"/>
      <c r="DM16" s="665">
        <v>0</v>
      </c>
      <c r="DN16" s="546">
        <f>ROUND(3.5*2.1*0,0)</f>
        <v>0</v>
      </c>
      <c r="DO16" s="666">
        <v>0</v>
      </c>
      <c r="DP16" s="546">
        <f>ROUND(3.5*2.1*0,0)</f>
        <v>0</v>
      </c>
      <c r="DQ16" s="666">
        <v>0</v>
      </c>
      <c r="DR16" s="546">
        <f>ROUND(3.5*2.1*0,0)</f>
        <v>0</v>
      </c>
      <c r="DS16" s="666">
        <v>0</v>
      </c>
      <c r="DT16" s="546">
        <f>ROUND(3.5*2.1*0,0)</f>
        <v>0</v>
      </c>
      <c r="DU16" s="666">
        <v>0</v>
      </c>
      <c r="DV16" s="546">
        <f>ROUND(3.5*2.1*0,0)</f>
        <v>0</v>
      </c>
      <c r="DW16" s="666">
        <v>0</v>
      </c>
      <c r="DX16" s="546">
        <f>ROUND(3.5*2.1*0,0)</f>
        <v>0</v>
      </c>
      <c r="DY16" s="666">
        <v>0</v>
      </c>
      <c r="DZ16" s="546">
        <f>ROUND(3.5*2.1*0,0)</f>
        <v>0</v>
      </c>
      <c r="EA16" s="666">
        <v>0</v>
      </c>
      <c r="EB16" s="546">
        <f>ROUND(3.5*2.1*0,0)</f>
        <v>0</v>
      </c>
      <c r="EC16" s="666">
        <v>0.80000000000000104</v>
      </c>
      <c r="ED16" s="546">
        <f>ROUND(3.5*2.1*0.800000000000001,0)</f>
        <v>6</v>
      </c>
      <c r="EE16" s="666">
        <v>2.1</v>
      </c>
      <c r="EF16" s="546">
        <f>ROUND(3.5*2.1*2.1,0)</f>
        <v>15</v>
      </c>
      <c r="EG16" s="666">
        <v>2.9</v>
      </c>
      <c r="EH16" s="546">
        <f>ROUND(3.5*2.1*2.9,0)</f>
        <v>21</v>
      </c>
      <c r="EI16" s="666">
        <v>3.6</v>
      </c>
      <c r="EJ16" s="546">
        <f>ROUND(3.5*2.1*3.6,0)</f>
        <v>26</v>
      </c>
      <c r="EK16" s="666">
        <v>3.8</v>
      </c>
      <c r="EL16" s="546">
        <f>ROUND(3.5*2.1*3.8,0)</f>
        <v>28</v>
      </c>
      <c r="EM16" s="666">
        <v>3.5</v>
      </c>
      <c r="EN16" s="546">
        <f>ROUND(3.5*2.1*3.5,0)</f>
        <v>26</v>
      </c>
      <c r="EO16" s="666">
        <v>3.1</v>
      </c>
      <c r="EP16" s="546">
        <f>ROUND(3.5*2.1*3.1,0)</f>
        <v>23</v>
      </c>
      <c r="EQ16" s="666">
        <v>2.7</v>
      </c>
      <c r="ER16" s="546">
        <f>ROUND(3.5*2.1*2.7,0)</f>
        <v>20</v>
      </c>
      <c r="ES16" s="666">
        <v>1.7</v>
      </c>
      <c r="ET16" s="546">
        <f>ROUND(3.5*2.1*1.7,0)</f>
        <v>12</v>
      </c>
      <c r="EU16" s="666">
        <v>0.69999999999999896</v>
      </c>
      <c r="EV16" s="546">
        <f>ROUND(3.5*2.1*0.699999999999999,0)</f>
        <v>5</v>
      </c>
      <c r="EW16" s="666">
        <v>0</v>
      </c>
      <c r="EX16" s="546">
        <f>ROUND(3.5*2.1*0,0)</f>
        <v>0</v>
      </c>
      <c r="EY16" s="666">
        <v>0</v>
      </c>
      <c r="EZ16" s="546">
        <f>ROUND(3.5*2.1*0,0)</f>
        <v>0</v>
      </c>
      <c r="FA16" s="666">
        <v>0</v>
      </c>
      <c r="FB16" s="546">
        <f>ROUND(3.5*2.1*0,0)</f>
        <v>0</v>
      </c>
      <c r="FC16" s="666">
        <v>0</v>
      </c>
      <c r="FD16" s="546">
        <f>ROUND(3.5*2.1*0,0)</f>
        <v>0</v>
      </c>
      <c r="FE16" s="666">
        <v>0</v>
      </c>
      <c r="FF16" s="546">
        <f>ROUND(3.5*2.1*0,0)</f>
        <v>0</v>
      </c>
      <c r="FG16" s="666">
        <v>0</v>
      </c>
      <c r="FH16" s="667">
        <f>ROUND(3.5*2.1*0,0)</f>
        <v>0</v>
      </c>
      <c r="FI16" s="550"/>
      <c r="FJ16" s="551"/>
      <c r="FK16" s="541" t="s">
        <v>229</v>
      </c>
      <c r="FL16" s="662" t="s">
        <v>73</v>
      </c>
      <c r="FM16" s="542">
        <v>3.5</v>
      </c>
      <c r="FN16" s="663" t="s">
        <v>325</v>
      </c>
      <c r="FO16" s="664"/>
      <c r="FP16" s="668">
        <v>9</v>
      </c>
      <c r="FQ16" s="669">
        <v>17</v>
      </c>
      <c r="FR16" s="546">
        <f>ROUND(3.5*2.1*17,0)</f>
        <v>125</v>
      </c>
      <c r="FS16" s="670">
        <v>9</v>
      </c>
      <c r="FT16" s="669">
        <v>17.5</v>
      </c>
      <c r="FU16" s="554">
        <f>ROUND(3.5*2.1*17.5,0)</f>
        <v>129</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t="s">
        <v>213</v>
      </c>
      <c r="C17" s="674" t="s">
        <v>73</v>
      </c>
      <c r="D17" s="570">
        <v>7</v>
      </c>
      <c r="E17" s="675">
        <v>0.9</v>
      </c>
      <c r="F17" s="676"/>
      <c r="G17" s="677">
        <v>0</v>
      </c>
      <c r="H17" s="574">
        <f>ROUND(7*0.9*0,0)</f>
        <v>0</v>
      </c>
      <c r="I17" s="678">
        <v>0</v>
      </c>
      <c r="J17" s="574">
        <f>ROUND(7*0.9*0,0)</f>
        <v>0</v>
      </c>
      <c r="K17" s="678">
        <v>0</v>
      </c>
      <c r="L17" s="574">
        <f>ROUND(7*0.9*0,0)</f>
        <v>0</v>
      </c>
      <c r="M17" s="678">
        <v>0</v>
      </c>
      <c r="N17" s="574">
        <f>ROUND(7*0.9*0,0)</f>
        <v>0</v>
      </c>
      <c r="O17" s="678">
        <v>0</v>
      </c>
      <c r="P17" s="574">
        <f>ROUND(7*0.9*0,0)</f>
        <v>0</v>
      </c>
      <c r="Q17" s="678">
        <v>0</v>
      </c>
      <c r="R17" s="574">
        <f>ROUND(7*0.9*0,0)</f>
        <v>0</v>
      </c>
      <c r="S17" s="678">
        <v>0</v>
      </c>
      <c r="T17" s="574">
        <f>ROUND(7*0.9*0,0)</f>
        <v>0</v>
      </c>
      <c r="U17" s="678">
        <v>0</v>
      </c>
      <c r="V17" s="574">
        <f>ROUND(7*0.9*0,0)</f>
        <v>0</v>
      </c>
      <c r="W17" s="678">
        <v>1.5</v>
      </c>
      <c r="X17" s="574">
        <f>ROUND(7*0.9*1.5,0)</f>
        <v>9</v>
      </c>
      <c r="Y17" s="678">
        <v>2.1</v>
      </c>
      <c r="Z17" s="574">
        <f>ROUND(7*0.9*2.1,0)</f>
        <v>13</v>
      </c>
      <c r="AA17" s="678">
        <v>2.9</v>
      </c>
      <c r="AB17" s="574">
        <f>ROUND(7*0.9*2.9,0)</f>
        <v>18</v>
      </c>
      <c r="AC17" s="678">
        <v>3.8</v>
      </c>
      <c r="AD17" s="574">
        <f>ROUND(7*0.9*3.8,0)</f>
        <v>24</v>
      </c>
      <c r="AE17" s="678">
        <v>4.7</v>
      </c>
      <c r="AF17" s="574">
        <f>ROUND(7*0.9*4.7,0)</f>
        <v>30</v>
      </c>
      <c r="AG17" s="678">
        <v>5.5</v>
      </c>
      <c r="AH17" s="574">
        <f>ROUND(7*0.9*5.5,0)</f>
        <v>35</v>
      </c>
      <c r="AI17" s="678">
        <v>6.2</v>
      </c>
      <c r="AJ17" s="574">
        <f>ROUND(7*0.9*6.2,0)</f>
        <v>39</v>
      </c>
      <c r="AK17" s="678">
        <v>6.8</v>
      </c>
      <c r="AL17" s="574">
        <f>ROUND(7*0.9*6.8,0)</f>
        <v>43</v>
      </c>
      <c r="AM17" s="678">
        <v>7.1</v>
      </c>
      <c r="AN17" s="574">
        <f>ROUND(7*0.9*7.1,0)</f>
        <v>45</v>
      </c>
      <c r="AO17" s="678">
        <v>7.2</v>
      </c>
      <c r="AP17" s="574">
        <f>ROUND(7*0.9*7.2,0)</f>
        <v>45</v>
      </c>
      <c r="AQ17" s="678">
        <v>0</v>
      </c>
      <c r="AR17" s="574">
        <f>ROUND(7*0.9*0,0)</f>
        <v>0</v>
      </c>
      <c r="AS17" s="678">
        <v>0</v>
      </c>
      <c r="AT17" s="574">
        <f>ROUND(7*0.9*0,0)</f>
        <v>0</v>
      </c>
      <c r="AU17" s="678">
        <v>0</v>
      </c>
      <c r="AV17" s="574">
        <f>ROUND(7*0.9*0,0)</f>
        <v>0</v>
      </c>
      <c r="AW17" s="678">
        <v>0</v>
      </c>
      <c r="AX17" s="574">
        <f>ROUND(7*0.9*0,0)</f>
        <v>0</v>
      </c>
      <c r="AY17" s="678">
        <v>0</v>
      </c>
      <c r="AZ17" s="574">
        <f>ROUND(7*0.9*0,0)</f>
        <v>0</v>
      </c>
      <c r="BA17" s="678">
        <v>0</v>
      </c>
      <c r="BB17" s="576">
        <f>ROUND(7*0.9*0,0)</f>
        <v>0</v>
      </c>
      <c r="BC17" s="549"/>
      <c r="BD17" s="539"/>
      <c r="BE17" s="569" t="s">
        <v>213</v>
      </c>
      <c r="BF17" s="674" t="s">
        <v>73</v>
      </c>
      <c r="BG17" s="570">
        <v>7</v>
      </c>
      <c r="BH17" s="675">
        <v>0.9</v>
      </c>
      <c r="BI17" s="676"/>
      <c r="BJ17" s="677">
        <v>0</v>
      </c>
      <c r="BK17" s="574">
        <f>ROUND(7*0.9*0,0)</f>
        <v>0</v>
      </c>
      <c r="BL17" s="678">
        <v>0</v>
      </c>
      <c r="BM17" s="574">
        <f>ROUND(7*0.9*0,0)</f>
        <v>0</v>
      </c>
      <c r="BN17" s="678">
        <v>0</v>
      </c>
      <c r="BO17" s="574">
        <f>ROUND(7*0.9*0,0)</f>
        <v>0</v>
      </c>
      <c r="BP17" s="678">
        <v>0</v>
      </c>
      <c r="BQ17" s="574">
        <f>ROUND(7*0.9*0,0)</f>
        <v>0</v>
      </c>
      <c r="BR17" s="678">
        <v>0</v>
      </c>
      <c r="BS17" s="574">
        <f>ROUND(7*0.9*0,0)</f>
        <v>0</v>
      </c>
      <c r="BT17" s="678">
        <v>0</v>
      </c>
      <c r="BU17" s="574">
        <f>ROUND(7*0.9*0,0)</f>
        <v>0</v>
      </c>
      <c r="BV17" s="678">
        <v>0</v>
      </c>
      <c r="BW17" s="574">
        <f>ROUND(7*0.9*0,0)</f>
        <v>0</v>
      </c>
      <c r="BX17" s="678">
        <v>0</v>
      </c>
      <c r="BY17" s="574">
        <f>ROUND(7*0.9*0,0)</f>
        <v>0</v>
      </c>
      <c r="BZ17" s="678">
        <v>1.1000000000000001</v>
      </c>
      <c r="CA17" s="574">
        <f>ROUND(7*0.9*1.1,0)</f>
        <v>7</v>
      </c>
      <c r="CB17" s="678">
        <v>1.6</v>
      </c>
      <c r="CC17" s="574">
        <f>ROUND(7*0.9*1.6,0)</f>
        <v>10</v>
      </c>
      <c r="CD17" s="678">
        <v>2.2999999999999998</v>
      </c>
      <c r="CE17" s="574">
        <f>ROUND(7*0.9*2.3,0)</f>
        <v>14</v>
      </c>
      <c r="CF17" s="678">
        <v>3.1</v>
      </c>
      <c r="CG17" s="574">
        <f>ROUND(7*0.9*3.1,0)</f>
        <v>20</v>
      </c>
      <c r="CH17" s="678">
        <v>3.8</v>
      </c>
      <c r="CI17" s="574">
        <f>ROUND(7*0.9*3.8,0)</f>
        <v>24</v>
      </c>
      <c r="CJ17" s="678">
        <v>4.5</v>
      </c>
      <c r="CK17" s="574">
        <f>ROUND(7*0.9*4.5,0)</f>
        <v>28</v>
      </c>
      <c r="CL17" s="678">
        <v>5.0999999999999996</v>
      </c>
      <c r="CM17" s="574">
        <f>ROUND(7*0.9*5.1,0)</f>
        <v>32</v>
      </c>
      <c r="CN17" s="678">
        <v>5.6</v>
      </c>
      <c r="CO17" s="574">
        <f>ROUND(7*0.9*5.6,0)</f>
        <v>35</v>
      </c>
      <c r="CP17" s="678">
        <v>6</v>
      </c>
      <c r="CQ17" s="574">
        <f>ROUND(7*0.9*6,0)</f>
        <v>38</v>
      </c>
      <c r="CR17" s="678">
        <v>6.4</v>
      </c>
      <c r="CS17" s="574">
        <f>ROUND(7*0.9*6.4,0)</f>
        <v>40</v>
      </c>
      <c r="CT17" s="678">
        <v>0</v>
      </c>
      <c r="CU17" s="574">
        <f>ROUND(7*0.9*0,0)</f>
        <v>0</v>
      </c>
      <c r="CV17" s="678">
        <v>0</v>
      </c>
      <c r="CW17" s="574">
        <f>ROUND(7*0.9*0,0)</f>
        <v>0</v>
      </c>
      <c r="CX17" s="678">
        <v>0</v>
      </c>
      <c r="CY17" s="574">
        <f>ROUND(7*0.9*0,0)</f>
        <v>0</v>
      </c>
      <c r="CZ17" s="678">
        <v>0</v>
      </c>
      <c r="DA17" s="574">
        <f>ROUND(7*0.9*0,0)</f>
        <v>0</v>
      </c>
      <c r="DB17" s="678">
        <v>0</v>
      </c>
      <c r="DC17" s="574">
        <f>ROUND(7*0.9*0,0)</f>
        <v>0</v>
      </c>
      <c r="DD17" s="678">
        <v>0</v>
      </c>
      <c r="DE17" s="576">
        <f>ROUND(7*0.9*0,0)</f>
        <v>0</v>
      </c>
      <c r="DF17" s="549"/>
      <c r="DG17" s="539"/>
      <c r="DH17" s="569" t="s">
        <v>213</v>
      </c>
      <c r="DI17" s="674" t="s">
        <v>73</v>
      </c>
      <c r="DJ17" s="570">
        <v>7</v>
      </c>
      <c r="DK17" s="675">
        <v>0.9</v>
      </c>
      <c r="DL17" s="676"/>
      <c r="DM17" s="677">
        <v>0</v>
      </c>
      <c r="DN17" s="574">
        <f>ROUND(7*0.9*0,0)</f>
        <v>0</v>
      </c>
      <c r="DO17" s="678">
        <v>0</v>
      </c>
      <c r="DP17" s="574">
        <f>ROUND(7*0.9*0,0)</f>
        <v>0</v>
      </c>
      <c r="DQ17" s="678">
        <v>0</v>
      </c>
      <c r="DR17" s="574">
        <f>ROUND(7*0.9*0,0)</f>
        <v>0</v>
      </c>
      <c r="DS17" s="678">
        <v>0</v>
      </c>
      <c r="DT17" s="574">
        <f>ROUND(7*0.9*0,0)</f>
        <v>0</v>
      </c>
      <c r="DU17" s="678">
        <v>0</v>
      </c>
      <c r="DV17" s="574">
        <f>ROUND(7*0.9*0,0)</f>
        <v>0</v>
      </c>
      <c r="DW17" s="678">
        <v>0</v>
      </c>
      <c r="DX17" s="574">
        <f>ROUND(7*0.9*0,0)</f>
        <v>0</v>
      </c>
      <c r="DY17" s="678">
        <v>0</v>
      </c>
      <c r="DZ17" s="574">
        <f>ROUND(7*0.9*0,0)</f>
        <v>0</v>
      </c>
      <c r="EA17" s="678">
        <v>0</v>
      </c>
      <c r="EB17" s="574">
        <f>ROUND(7*0.9*0,0)</f>
        <v>0</v>
      </c>
      <c r="EC17" s="678">
        <v>0</v>
      </c>
      <c r="ED17" s="574">
        <f>ROUND(7*0.9*0,0)</f>
        <v>0</v>
      </c>
      <c r="EE17" s="678">
        <v>0</v>
      </c>
      <c r="EF17" s="574">
        <f>ROUND(7*0.9*0,0)</f>
        <v>0</v>
      </c>
      <c r="EG17" s="678">
        <v>0</v>
      </c>
      <c r="EH17" s="574">
        <f>ROUND(7*0.9*0,0)</f>
        <v>0</v>
      </c>
      <c r="EI17" s="678">
        <v>0.4</v>
      </c>
      <c r="EJ17" s="574">
        <f>ROUND(7*0.9*0.4,0)</f>
        <v>3</v>
      </c>
      <c r="EK17" s="678">
        <v>1.3</v>
      </c>
      <c r="EL17" s="574">
        <f>ROUND(7*0.9*1.3,0)</f>
        <v>8</v>
      </c>
      <c r="EM17" s="678">
        <v>2.1</v>
      </c>
      <c r="EN17" s="574">
        <f>ROUND(7*0.9*2.1,0)</f>
        <v>13</v>
      </c>
      <c r="EO17" s="678">
        <v>2.8</v>
      </c>
      <c r="EP17" s="574">
        <f>ROUND(7*0.9*2.8,0)</f>
        <v>18</v>
      </c>
      <c r="EQ17" s="678">
        <v>3.3</v>
      </c>
      <c r="ER17" s="574">
        <f>ROUND(7*0.9*3.3,0)</f>
        <v>21</v>
      </c>
      <c r="ES17" s="678">
        <v>3.6</v>
      </c>
      <c r="ET17" s="574">
        <f>ROUND(7*0.9*3.6,0)</f>
        <v>23</v>
      </c>
      <c r="EU17" s="678">
        <v>3.7</v>
      </c>
      <c r="EV17" s="574">
        <f>ROUND(7*0.9*3.7,0)</f>
        <v>23</v>
      </c>
      <c r="EW17" s="678">
        <v>0</v>
      </c>
      <c r="EX17" s="574">
        <f>ROUND(7*0.9*0,0)</f>
        <v>0</v>
      </c>
      <c r="EY17" s="678">
        <v>0</v>
      </c>
      <c r="EZ17" s="574">
        <f>ROUND(7*0.9*0,0)</f>
        <v>0</v>
      </c>
      <c r="FA17" s="678">
        <v>0</v>
      </c>
      <c r="FB17" s="574">
        <f>ROUND(7*0.9*0,0)</f>
        <v>0</v>
      </c>
      <c r="FC17" s="678">
        <v>0</v>
      </c>
      <c r="FD17" s="574">
        <f>ROUND(7*0.9*0,0)</f>
        <v>0</v>
      </c>
      <c r="FE17" s="678">
        <v>0</v>
      </c>
      <c r="FF17" s="574">
        <f>ROUND(7*0.9*0,0)</f>
        <v>0</v>
      </c>
      <c r="FG17" s="678">
        <v>0</v>
      </c>
      <c r="FH17" s="576">
        <f>ROUND(7*0.9*0,0)</f>
        <v>0</v>
      </c>
      <c r="FI17" s="550"/>
      <c r="FJ17" s="551"/>
      <c r="FK17" s="569" t="s">
        <v>213</v>
      </c>
      <c r="FL17" s="674" t="s">
        <v>73</v>
      </c>
      <c r="FM17" s="570">
        <v>7</v>
      </c>
      <c r="FN17" s="675">
        <v>0.9</v>
      </c>
      <c r="FO17" s="676"/>
      <c r="FP17" s="679">
        <v>9</v>
      </c>
      <c r="FQ17" s="680">
        <v>17</v>
      </c>
      <c r="FR17" s="574">
        <f>ROUND(7*0.9*17,0)</f>
        <v>107</v>
      </c>
      <c r="FS17" s="681">
        <v>9</v>
      </c>
      <c r="FT17" s="680">
        <v>17.5</v>
      </c>
      <c r="FU17" s="579">
        <f>ROUND(7*0.9*17.5,0)</f>
        <v>110</v>
      </c>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t="s">
        <v>213</v>
      </c>
      <c r="C18" s="674" t="s">
        <v>79</v>
      </c>
      <c r="D18" s="570">
        <v>28.13</v>
      </c>
      <c r="E18" s="675">
        <v>0.9</v>
      </c>
      <c r="F18" s="676"/>
      <c r="G18" s="677">
        <v>0</v>
      </c>
      <c r="H18" s="574">
        <f>ROUND(28.13*0.9*0,0)</f>
        <v>0</v>
      </c>
      <c r="I18" s="678">
        <v>0</v>
      </c>
      <c r="J18" s="574">
        <f>ROUND(28.13*0.9*0,0)</f>
        <v>0</v>
      </c>
      <c r="K18" s="678">
        <v>0</v>
      </c>
      <c r="L18" s="574">
        <f>ROUND(28.13*0.9*0,0)</f>
        <v>0</v>
      </c>
      <c r="M18" s="678">
        <v>0</v>
      </c>
      <c r="N18" s="574">
        <f>ROUND(28.13*0.9*0,0)</f>
        <v>0</v>
      </c>
      <c r="O18" s="678">
        <v>0</v>
      </c>
      <c r="P18" s="574">
        <f>ROUND(28.13*0.9*0,0)</f>
        <v>0</v>
      </c>
      <c r="Q18" s="678">
        <v>0</v>
      </c>
      <c r="R18" s="574">
        <f>ROUND(28.13*0.9*0,0)</f>
        <v>0</v>
      </c>
      <c r="S18" s="678">
        <v>0</v>
      </c>
      <c r="T18" s="574">
        <f>ROUND(28.13*0.9*0,0)</f>
        <v>0</v>
      </c>
      <c r="U18" s="678">
        <v>0</v>
      </c>
      <c r="V18" s="574">
        <f>ROUND(28.13*0.9*0,0)</f>
        <v>0</v>
      </c>
      <c r="W18" s="678">
        <v>1.6</v>
      </c>
      <c r="X18" s="574">
        <f>ROUND(28.13*0.9*1.6,0)</f>
        <v>41</v>
      </c>
      <c r="Y18" s="678">
        <v>2.1</v>
      </c>
      <c r="Z18" s="574">
        <f>ROUND(28.13*0.9*2.1,0)</f>
        <v>53</v>
      </c>
      <c r="AA18" s="678">
        <v>2.9</v>
      </c>
      <c r="AB18" s="574">
        <f>ROUND(28.13*0.9*2.9,0)</f>
        <v>73</v>
      </c>
      <c r="AC18" s="678">
        <v>3.8</v>
      </c>
      <c r="AD18" s="574">
        <f>ROUND(28.13*0.9*3.8,0)</f>
        <v>96</v>
      </c>
      <c r="AE18" s="678">
        <v>4.8</v>
      </c>
      <c r="AF18" s="574">
        <f>ROUND(28.13*0.9*4.8,0)</f>
        <v>122</v>
      </c>
      <c r="AG18" s="678">
        <v>6</v>
      </c>
      <c r="AH18" s="574">
        <f>ROUND(28.13*0.9*6,0)</f>
        <v>152</v>
      </c>
      <c r="AI18" s="678">
        <v>7.5</v>
      </c>
      <c r="AJ18" s="574">
        <f>ROUND(28.13*0.9*7.5,0)</f>
        <v>190</v>
      </c>
      <c r="AK18" s="678">
        <v>9.1</v>
      </c>
      <c r="AL18" s="574">
        <f>ROUND(28.13*0.9*9.1,0)</f>
        <v>230</v>
      </c>
      <c r="AM18" s="678">
        <v>10.5</v>
      </c>
      <c r="AN18" s="574">
        <f>ROUND(28.13*0.9*10.5,0)</f>
        <v>266</v>
      </c>
      <c r="AO18" s="678">
        <v>11.3</v>
      </c>
      <c r="AP18" s="574">
        <f>ROUND(28.13*0.9*11.3,0)</f>
        <v>286</v>
      </c>
      <c r="AQ18" s="678">
        <v>0</v>
      </c>
      <c r="AR18" s="574">
        <f>ROUND(28.13*0.9*0,0)</f>
        <v>0</v>
      </c>
      <c r="AS18" s="678">
        <v>0</v>
      </c>
      <c r="AT18" s="574">
        <f>ROUND(28.13*0.9*0,0)</f>
        <v>0</v>
      </c>
      <c r="AU18" s="678">
        <v>0</v>
      </c>
      <c r="AV18" s="574">
        <f>ROUND(28.13*0.9*0,0)</f>
        <v>0</v>
      </c>
      <c r="AW18" s="678">
        <v>0</v>
      </c>
      <c r="AX18" s="574">
        <f>ROUND(28.13*0.9*0,0)</f>
        <v>0</v>
      </c>
      <c r="AY18" s="678">
        <v>0</v>
      </c>
      <c r="AZ18" s="574">
        <f>ROUND(28.13*0.9*0,0)</f>
        <v>0</v>
      </c>
      <c r="BA18" s="678">
        <v>0</v>
      </c>
      <c r="BB18" s="576">
        <f>ROUND(28.13*0.9*0,0)</f>
        <v>0</v>
      </c>
      <c r="BC18" s="549"/>
      <c r="BD18" s="539"/>
      <c r="BE18" s="683" t="s">
        <v>213</v>
      </c>
      <c r="BF18" s="674" t="s">
        <v>79</v>
      </c>
      <c r="BG18" s="570">
        <v>28.13</v>
      </c>
      <c r="BH18" s="675">
        <v>0.9</v>
      </c>
      <c r="BI18" s="676"/>
      <c r="BJ18" s="677">
        <v>0</v>
      </c>
      <c r="BK18" s="574">
        <f>ROUND(28.13*0.9*0,0)</f>
        <v>0</v>
      </c>
      <c r="BL18" s="678">
        <v>0</v>
      </c>
      <c r="BM18" s="574">
        <f>ROUND(28.13*0.9*0,0)</f>
        <v>0</v>
      </c>
      <c r="BN18" s="678">
        <v>0</v>
      </c>
      <c r="BO18" s="574">
        <f>ROUND(28.13*0.9*0,0)</f>
        <v>0</v>
      </c>
      <c r="BP18" s="678">
        <v>0</v>
      </c>
      <c r="BQ18" s="574">
        <f>ROUND(28.13*0.9*0,0)</f>
        <v>0</v>
      </c>
      <c r="BR18" s="678">
        <v>0</v>
      </c>
      <c r="BS18" s="574">
        <f>ROUND(28.13*0.9*0,0)</f>
        <v>0</v>
      </c>
      <c r="BT18" s="678">
        <v>0</v>
      </c>
      <c r="BU18" s="574">
        <f>ROUND(28.13*0.9*0,0)</f>
        <v>0</v>
      </c>
      <c r="BV18" s="678">
        <v>0</v>
      </c>
      <c r="BW18" s="574">
        <f>ROUND(28.13*0.9*0,0)</f>
        <v>0</v>
      </c>
      <c r="BX18" s="678">
        <v>0</v>
      </c>
      <c r="BY18" s="574">
        <f>ROUND(28.13*0.9*0,0)</f>
        <v>0</v>
      </c>
      <c r="BZ18" s="678">
        <v>1.3</v>
      </c>
      <c r="CA18" s="574">
        <f>ROUND(28.13*0.9*1.3,0)</f>
        <v>33</v>
      </c>
      <c r="CB18" s="678">
        <v>1.7</v>
      </c>
      <c r="CC18" s="574">
        <f>ROUND(28.13*0.9*1.7,0)</f>
        <v>43</v>
      </c>
      <c r="CD18" s="678">
        <v>2.4</v>
      </c>
      <c r="CE18" s="574">
        <f>ROUND(28.13*0.9*2.4,0)</f>
        <v>61</v>
      </c>
      <c r="CF18" s="678">
        <v>3.1</v>
      </c>
      <c r="CG18" s="574">
        <f>ROUND(28.13*0.9*3.1,0)</f>
        <v>78</v>
      </c>
      <c r="CH18" s="678">
        <v>4</v>
      </c>
      <c r="CI18" s="574">
        <f>ROUND(28.13*0.9*4,0)</f>
        <v>101</v>
      </c>
      <c r="CJ18" s="678">
        <v>5.3</v>
      </c>
      <c r="CK18" s="574">
        <f>ROUND(28.13*0.9*5.3,0)</f>
        <v>134</v>
      </c>
      <c r="CL18" s="678">
        <v>7.1</v>
      </c>
      <c r="CM18" s="574">
        <f>ROUND(28.13*0.9*7.1,0)</f>
        <v>180</v>
      </c>
      <c r="CN18" s="678">
        <v>9.4</v>
      </c>
      <c r="CO18" s="574">
        <f>ROUND(28.13*0.9*9.4,0)</f>
        <v>238</v>
      </c>
      <c r="CP18" s="678">
        <v>11.7</v>
      </c>
      <c r="CQ18" s="574">
        <f>ROUND(28.13*0.9*11.7,0)</f>
        <v>296</v>
      </c>
      <c r="CR18" s="678">
        <v>13.6</v>
      </c>
      <c r="CS18" s="574">
        <f>ROUND(28.13*0.9*13.6,0)</f>
        <v>344</v>
      </c>
      <c r="CT18" s="678">
        <v>0</v>
      </c>
      <c r="CU18" s="574">
        <f>ROUND(28.13*0.9*0,0)</f>
        <v>0</v>
      </c>
      <c r="CV18" s="678">
        <v>0</v>
      </c>
      <c r="CW18" s="574">
        <f>ROUND(28.13*0.9*0,0)</f>
        <v>0</v>
      </c>
      <c r="CX18" s="678">
        <v>0</v>
      </c>
      <c r="CY18" s="574">
        <f>ROUND(28.13*0.9*0,0)</f>
        <v>0</v>
      </c>
      <c r="CZ18" s="678">
        <v>0</v>
      </c>
      <c r="DA18" s="574">
        <f>ROUND(28.13*0.9*0,0)</f>
        <v>0</v>
      </c>
      <c r="DB18" s="678">
        <v>0</v>
      </c>
      <c r="DC18" s="574">
        <f>ROUND(28.13*0.9*0,0)</f>
        <v>0</v>
      </c>
      <c r="DD18" s="678">
        <v>0</v>
      </c>
      <c r="DE18" s="576">
        <f>ROUND(28.13*0.9*0,0)</f>
        <v>0</v>
      </c>
      <c r="DF18" s="549"/>
      <c r="DG18" s="539"/>
      <c r="DH18" s="683" t="s">
        <v>213</v>
      </c>
      <c r="DI18" s="674" t="s">
        <v>79</v>
      </c>
      <c r="DJ18" s="570">
        <v>28.13</v>
      </c>
      <c r="DK18" s="675">
        <v>0.9</v>
      </c>
      <c r="DL18" s="676"/>
      <c r="DM18" s="677">
        <v>0</v>
      </c>
      <c r="DN18" s="574">
        <f>ROUND(28.13*0.9*0,0)</f>
        <v>0</v>
      </c>
      <c r="DO18" s="678">
        <v>0</v>
      </c>
      <c r="DP18" s="574">
        <f>ROUND(28.13*0.9*0,0)</f>
        <v>0</v>
      </c>
      <c r="DQ18" s="678">
        <v>0</v>
      </c>
      <c r="DR18" s="574">
        <f>ROUND(28.13*0.9*0,0)</f>
        <v>0</v>
      </c>
      <c r="DS18" s="678">
        <v>0</v>
      </c>
      <c r="DT18" s="574">
        <f>ROUND(28.13*0.9*0,0)</f>
        <v>0</v>
      </c>
      <c r="DU18" s="678">
        <v>0</v>
      </c>
      <c r="DV18" s="574">
        <f>ROUND(28.13*0.9*0,0)</f>
        <v>0</v>
      </c>
      <c r="DW18" s="678">
        <v>0</v>
      </c>
      <c r="DX18" s="574">
        <f>ROUND(28.13*0.9*0,0)</f>
        <v>0</v>
      </c>
      <c r="DY18" s="678">
        <v>0</v>
      </c>
      <c r="DZ18" s="574">
        <f>ROUND(28.13*0.9*0,0)</f>
        <v>0</v>
      </c>
      <c r="EA18" s="678">
        <v>0</v>
      </c>
      <c r="EB18" s="574">
        <f>ROUND(28.13*0.9*0,0)</f>
        <v>0</v>
      </c>
      <c r="EC18" s="678">
        <v>0</v>
      </c>
      <c r="ED18" s="574">
        <f>ROUND(28.13*0.9*0,0)</f>
        <v>0</v>
      </c>
      <c r="EE18" s="678">
        <v>0</v>
      </c>
      <c r="EF18" s="574">
        <f>ROUND(28.13*0.9*0,0)</f>
        <v>0</v>
      </c>
      <c r="EG18" s="678">
        <v>0</v>
      </c>
      <c r="EH18" s="574">
        <f>ROUND(28.13*0.9*0,0)</f>
        <v>0</v>
      </c>
      <c r="EI18" s="678">
        <v>0.7</v>
      </c>
      <c r="EJ18" s="574">
        <f>ROUND(28.13*0.9*0.7,0)</f>
        <v>18</v>
      </c>
      <c r="EK18" s="678">
        <v>1.7</v>
      </c>
      <c r="EL18" s="574">
        <f>ROUND(28.13*0.9*1.7,0)</f>
        <v>43</v>
      </c>
      <c r="EM18" s="678">
        <v>3.2</v>
      </c>
      <c r="EN18" s="574">
        <f>ROUND(28.13*0.9*3.2,0)</f>
        <v>81</v>
      </c>
      <c r="EO18" s="678">
        <v>5.4</v>
      </c>
      <c r="EP18" s="574">
        <f>ROUND(28.13*0.9*5.4,0)</f>
        <v>137</v>
      </c>
      <c r="EQ18" s="678">
        <v>7.9</v>
      </c>
      <c r="ER18" s="574">
        <f>ROUND(28.13*0.9*7.9,0)</f>
        <v>200</v>
      </c>
      <c r="ES18" s="678">
        <v>10.1</v>
      </c>
      <c r="ET18" s="574">
        <f>ROUND(28.13*0.9*10.1,0)</f>
        <v>256</v>
      </c>
      <c r="EU18" s="678">
        <v>11.5</v>
      </c>
      <c r="EV18" s="574">
        <f>ROUND(28.13*0.9*11.5,0)</f>
        <v>291</v>
      </c>
      <c r="EW18" s="678">
        <v>0</v>
      </c>
      <c r="EX18" s="574">
        <f>ROUND(28.13*0.9*0,0)</f>
        <v>0</v>
      </c>
      <c r="EY18" s="678">
        <v>0</v>
      </c>
      <c r="EZ18" s="574">
        <f>ROUND(28.13*0.9*0,0)</f>
        <v>0</v>
      </c>
      <c r="FA18" s="678">
        <v>0</v>
      </c>
      <c r="FB18" s="574">
        <f>ROUND(28.13*0.9*0,0)</f>
        <v>0</v>
      </c>
      <c r="FC18" s="678">
        <v>0</v>
      </c>
      <c r="FD18" s="574">
        <f>ROUND(28.13*0.9*0,0)</f>
        <v>0</v>
      </c>
      <c r="FE18" s="678">
        <v>0</v>
      </c>
      <c r="FF18" s="574">
        <f>ROUND(28.13*0.9*0,0)</f>
        <v>0</v>
      </c>
      <c r="FG18" s="678">
        <v>0</v>
      </c>
      <c r="FH18" s="576">
        <f>ROUND(28.13*0.9*0,0)</f>
        <v>0</v>
      </c>
      <c r="FI18" s="550"/>
      <c r="FJ18" s="551"/>
      <c r="FK18" s="683" t="s">
        <v>213</v>
      </c>
      <c r="FL18" s="674" t="s">
        <v>79</v>
      </c>
      <c r="FM18" s="570">
        <v>28.13</v>
      </c>
      <c r="FN18" s="675">
        <v>0.9</v>
      </c>
      <c r="FO18" s="676"/>
      <c r="FP18" s="679">
        <v>9</v>
      </c>
      <c r="FQ18" s="680">
        <v>17</v>
      </c>
      <c r="FR18" s="574">
        <f>ROUND(28.13*0.9*17,0)</f>
        <v>430</v>
      </c>
      <c r="FS18" s="681">
        <v>9</v>
      </c>
      <c r="FT18" s="680">
        <v>17.5</v>
      </c>
      <c r="FU18" s="579">
        <f>ROUND(28.13*0.9*17.5,0)</f>
        <v>443</v>
      </c>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t="s">
        <v>236</v>
      </c>
      <c r="C19" s="674"/>
      <c r="D19" s="570">
        <v>7.56</v>
      </c>
      <c r="E19" s="675">
        <v>2.9</v>
      </c>
      <c r="F19" s="676"/>
      <c r="G19" s="677">
        <v>0</v>
      </c>
      <c r="H19" s="574">
        <f>ROUND(7.56*2.9*0,0)</f>
        <v>0</v>
      </c>
      <c r="I19" s="678">
        <v>0</v>
      </c>
      <c r="J19" s="574">
        <f>ROUND(7.56*2.9*0,0)</f>
        <v>0</v>
      </c>
      <c r="K19" s="678">
        <v>0</v>
      </c>
      <c r="L19" s="574">
        <f>ROUND(7.56*2.9*0,0)</f>
        <v>0</v>
      </c>
      <c r="M19" s="678">
        <v>0</v>
      </c>
      <c r="N19" s="574">
        <f>ROUND(7.56*2.9*0,0)</f>
        <v>0</v>
      </c>
      <c r="O19" s="678">
        <v>0</v>
      </c>
      <c r="P19" s="574">
        <f>ROUND(7.56*2.9*0,0)</f>
        <v>0</v>
      </c>
      <c r="Q19" s="678">
        <v>0</v>
      </c>
      <c r="R19" s="574">
        <f>ROUND(7.56*2.9*0,0)</f>
        <v>0</v>
      </c>
      <c r="S19" s="678">
        <v>0</v>
      </c>
      <c r="T19" s="574">
        <f>ROUND(7.56*2.9*0,0)</f>
        <v>0</v>
      </c>
      <c r="U19" s="678">
        <v>0</v>
      </c>
      <c r="V19" s="574">
        <f>ROUND(7.56*2.9*0,0)</f>
        <v>0</v>
      </c>
      <c r="W19" s="678">
        <v>1</v>
      </c>
      <c r="X19" s="574">
        <f>ROUND(7.56*2.9*1,0)</f>
        <v>22</v>
      </c>
      <c r="Y19" s="678">
        <v>1.3</v>
      </c>
      <c r="Z19" s="574">
        <f>ROUND(7.56*2.9*1.3,0)</f>
        <v>29</v>
      </c>
      <c r="AA19" s="678">
        <v>1.6</v>
      </c>
      <c r="AB19" s="574">
        <f>ROUND(7.56*2.9*1.6,0)</f>
        <v>35</v>
      </c>
      <c r="AC19" s="678">
        <v>1.7</v>
      </c>
      <c r="AD19" s="574">
        <f>ROUND(7.56*2.9*1.7,0)</f>
        <v>37</v>
      </c>
      <c r="AE19" s="678">
        <v>1.8</v>
      </c>
      <c r="AF19" s="574">
        <f>ROUND(7.56*2.9*1.8,0)</f>
        <v>39</v>
      </c>
      <c r="AG19" s="678">
        <v>1.8</v>
      </c>
      <c r="AH19" s="574">
        <f>ROUND(7.56*2.9*1.8,0)</f>
        <v>39</v>
      </c>
      <c r="AI19" s="678">
        <v>1.6</v>
      </c>
      <c r="AJ19" s="574">
        <f>ROUND(7.56*2.9*1.6,0)</f>
        <v>35</v>
      </c>
      <c r="AK19" s="678">
        <v>1.5</v>
      </c>
      <c r="AL19" s="574">
        <f>ROUND(7.56*2.9*1.5,0)</f>
        <v>33</v>
      </c>
      <c r="AM19" s="678">
        <v>1.2</v>
      </c>
      <c r="AN19" s="574">
        <f>ROUND(7.56*2.9*1.2,0)</f>
        <v>26</v>
      </c>
      <c r="AO19" s="678">
        <v>1</v>
      </c>
      <c r="AP19" s="574">
        <f>ROUND(7.56*2.9*1,0)</f>
        <v>22</v>
      </c>
      <c r="AQ19" s="678">
        <v>0</v>
      </c>
      <c r="AR19" s="574">
        <f>ROUND(7.56*2.9*0,0)</f>
        <v>0</v>
      </c>
      <c r="AS19" s="678">
        <v>0</v>
      </c>
      <c r="AT19" s="574">
        <f>ROUND(7.56*2.9*0,0)</f>
        <v>0</v>
      </c>
      <c r="AU19" s="678">
        <v>0</v>
      </c>
      <c r="AV19" s="574">
        <f>ROUND(7.56*2.9*0,0)</f>
        <v>0</v>
      </c>
      <c r="AW19" s="678">
        <v>0</v>
      </c>
      <c r="AX19" s="574">
        <f>ROUND(7.56*2.9*0,0)</f>
        <v>0</v>
      </c>
      <c r="AY19" s="678">
        <v>0</v>
      </c>
      <c r="AZ19" s="574">
        <f>ROUND(7.56*2.9*0,0)</f>
        <v>0</v>
      </c>
      <c r="BA19" s="678">
        <v>0</v>
      </c>
      <c r="BB19" s="576">
        <f>ROUND(7.56*2.9*0,0)</f>
        <v>0</v>
      </c>
      <c r="BC19" s="549"/>
      <c r="BD19" s="539"/>
      <c r="BE19" s="683" t="s">
        <v>236</v>
      </c>
      <c r="BF19" s="674"/>
      <c r="BG19" s="570">
        <v>7.56</v>
      </c>
      <c r="BH19" s="675">
        <v>2.9</v>
      </c>
      <c r="BI19" s="676"/>
      <c r="BJ19" s="677">
        <v>0</v>
      </c>
      <c r="BK19" s="574">
        <f>ROUND(7.56*2.9*0,0)</f>
        <v>0</v>
      </c>
      <c r="BL19" s="678">
        <v>0</v>
      </c>
      <c r="BM19" s="574">
        <f>ROUND(7.56*2.9*0,0)</f>
        <v>0</v>
      </c>
      <c r="BN19" s="678">
        <v>0</v>
      </c>
      <c r="BO19" s="574">
        <f>ROUND(7.56*2.9*0,0)</f>
        <v>0</v>
      </c>
      <c r="BP19" s="678">
        <v>0</v>
      </c>
      <c r="BQ19" s="574">
        <f>ROUND(7.56*2.9*0,0)</f>
        <v>0</v>
      </c>
      <c r="BR19" s="678">
        <v>0</v>
      </c>
      <c r="BS19" s="574">
        <f>ROUND(7.56*2.9*0,0)</f>
        <v>0</v>
      </c>
      <c r="BT19" s="678">
        <v>0</v>
      </c>
      <c r="BU19" s="574">
        <f>ROUND(7.56*2.9*0,0)</f>
        <v>0</v>
      </c>
      <c r="BV19" s="678">
        <v>0</v>
      </c>
      <c r="BW19" s="574">
        <f>ROUND(7.56*2.9*0,0)</f>
        <v>0</v>
      </c>
      <c r="BX19" s="678">
        <v>0</v>
      </c>
      <c r="BY19" s="574">
        <f>ROUND(7.56*2.9*0,0)</f>
        <v>0</v>
      </c>
      <c r="BZ19" s="678">
        <v>0.9</v>
      </c>
      <c r="CA19" s="574">
        <f>ROUND(7.56*2.9*0.9,0)</f>
        <v>20</v>
      </c>
      <c r="CB19" s="678">
        <v>1.2</v>
      </c>
      <c r="CC19" s="574">
        <f>ROUND(7.56*2.9*1.2,0)</f>
        <v>26</v>
      </c>
      <c r="CD19" s="678">
        <v>1.5</v>
      </c>
      <c r="CE19" s="574">
        <f>ROUND(7.56*2.9*1.5,0)</f>
        <v>33</v>
      </c>
      <c r="CF19" s="678">
        <v>1.6</v>
      </c>
      <c r="CG19" s="574">
        <f>ROUND(7.56*2.9*1.6,0)</f>
        <v>35</v>
      </c>
      <c r="CH19" s="678">
        <v>1.7</v>
      </c>
      <c r="CI19" s="574">
        <f>ROUND(7.56*2.9*1.7,0)</f>
        <v>37</v>
      </c>
      <c r="CJ19" s="678">
        <v>1.6</v>
      </c>
      <c r="CK19" s="574">
        <f>ROUND(7.56*2.9*1.6,0)</f>
        <v>35</v>
      </c>
      <c r="CL19" s="678">
        <v>1.5</v>
      </c>
      <c r="CM19" s="574">
        <f>ROUND(7.56*2.9*1.5,0)</f>
        <v>33</v>
      </c>
      <c r="CN19" s="678">
        <v>1.3</v>
      </c>
      <c r="CO19" s="574">
        <f>ROUND(7.56*2.9*1.3,0)</f>
        <v>29</v>
      </c>
      <c r="CP19" s="678">
        <v>1.2</v>
      </c>
      <c r="CQ19" s="574">
        <f>ROUND(7.56*2.9*1.2,0)</f>
        <v>26</v>
      </c>
      <c r="CR19" s="678">
        <v>0.9</v>
      </c>
      <c r="CS19" s="574">
        <f>ROUND(7.56*2.9*0.9,0)</f>
        <v>20</v>
      </c>
      <c r="CT19" s="678">
        <v>0</v>
      </c>
      <c r="CU19" s="574">
        <f>ROUND(7.56*2.9*0,0)</f>
        <v>0</v>
      </c>
      <c r="CV19" s="678">
        <v>0</v>
      </c>
      <c r="CW19" s="574">
        <f>ROUND(7.56*2.9*0,0)</f>
        <v>0</v>
      </c>
      <c r="CX19" s="678">
        <v>0</v>
      </c>
      <c r="CY19" s="574">
        <f>ROUND(7.56*2.9*0,0)</f>
        <v>0</v>
      </c>
      <c r="CZ19" s="678">
        <v>0</v>
      </c>
      <c r="DA19" s="574">
        <f>ROUND(7.56*2.9*0,0)</f>
        <v>0</v>
      </c>
      <c r="DB19" s="678">
        <v>0</v>
      </c>
      <c r="DC19" s="574">
        <f>ROUND(7.56*2.9*0,0)</f>
        <v>0</v>
      </c>
      <c r="DD19" s="678">
        <v>0</v>
      </c>
      <c r="DE19" s="576">
        <f>ROUND(7.56*2.9*0,0)</f>
        <v>0</v>
      </c>
      <c r="DF19" s="549"/>
      <c r="DG19" s="539"/>
      <c r="DH19" s="683" t="s">
        <v>236</v>
      </c>
      <c r="DI19" s="674"/>
      <c r="DJ19" s="570">
        <v>7.56</v>
      </c>
      <c r="DK19" s="675">
        <v>2.9</v>
      </c>
      <c r="DL19" s="676"/>
      <c r="DM19" s="677">
        <v>0</v>
      </c>
      <c r="DN19" s="574">
        <f>ROUND(7.56*2.9*0,0)</f>
        <v>0</v>
      </c>
      <c r="DO19" s="678">
        <v>0</v>
      </c>
      <c r="DP19" s="574">
        <f>ROUND(7.56*2.9*0,0)</f>
        <v>0</v>
      </c>
      <c r="DQ19" s="678">
        <v>0</v>
      </c>
      <c r="DR19" s="574">
        <f>ROUND(7.56*2.9*0,0)</f>
        <v>0</v>
      </c>
      <c r="DS19" s="678">
        <v>0</v>
      </c>
      <c r="DT19" s="574">
        <f>ROUND(7.56*2.9*0,0)</f>
        <v>0</v>
      </c>
      <c r="DU19" s="678">
        <v>0</v>
      </c>
      <c r="DV19" s="574">
        <f>ROUND(7.56*2.9*0,0)</f>
        <v>0</v>
      </c>
      <c r="DW19" s="678">
        <v>0</v>
      </c>
      <c r="DX19" s="574">
        <f>ROUND(7.56*2.9*0,0)</f>
        <v>0</v>
      </c>
      <c r="DY19" s="678">
        <v>0</v>
      </c>
      <c r="DZ19" s="574">
        <f>ROUND(7.56*2.9*0,0)</f>
        <v>0</v>
      </c>
      <c r="EA19" s="678">
        <v>0</v>
      </c>
      <c r="EB19" s="574">
        <f>ROUND(7.56*2.9*0,0)</f>
        <v>0</v>
      </c>
      <c r="EC19" s="678">
        <v>0.2</v>
      </c>
      <c r="ED19" s="574">
        <f>ROUND(7.56*2.9*0.2,0)</f>
        <v>4</v>
      </c>
      <c r="EE19" s="678">
        <v>0.6</v>
      </c>
      <c r="EF19" s="574">
        <f>ROUND(7.56*2.9*0.6,0)</f>
        <v>13</v>
      </c>
      <c r="EG19" s="678">
        <v>0.9</v>
      </c>
      <c r="EH19" s="574">
        <f>ROUND(7.56*2.9*0.9,0)</f>
        <v>20</v>
      </c>
      <c r="EI19" s="678">
        <v>1.1000000000000001</v>
      </c>
      <c r="EJ19" s="574">
        <f>ROUND(7.56*2.9*1.1,0)</f>
        <v>24</v>
      </c>
      <c r="EK19" s="678">
        <v>1.1000000000000001</v>
      </c>
      <c r="EL19" s="574">
        <f>ROUND(7.56*2.9*1.1,0)</f>
        <v>24</v>
      </c>
      <c r="EM19" s="678">
        <v>1</v>
      </c>
      <c r="EN19" s="574">
        <f>ROUND(7.56*2.9*1,0)</f>
        <v>22</v>
      </c>
      <c r="EO19" s="678">
        <v>0.9</v>
      </c>
      <c r="EP19" s="574">
        <f>ROUND(7.56*2.9*0.9,0)</f>
        <v>20</v>
      </c>
      <c r="EQ19" s="678">
        <v>0.8</v>
      </c>
      <c r="ER19" s="574">
        <f>ROUND(7.56*2.9*0.8,0)</f>
        <v>18</v>
      </c>
      <c r="ES19" s="678">
        <v>0.5</v>
      </c>
      <c r="ET19" s="574">
        <f>ROUND(7.56*2.9*0.5,0)</f>
        <v>11</v>
      </c>
      <c r="EU19" s="678">
        <v>0.2</v>
      </c>
      <c r="EV19" s="574">
        <f>ROUND(7.56*2.9*0.2,0)</f>
        <v>4</v>
      </c>
      <c r="EW19" s="678">
        <v>0</v>
      </c>
      <c r="EX19" s="574">
        <f>ROUND(7.56*2.9*0,0)</f>
        <v>0</v>
      </c>
      <c r="EY19" s="678">
        <v>0</v>
      </c>
      <c r="EZ19" s="574">
        <f>ROUND(7.56*2.9*0,0)</f>
        <v>0</v>
      </c>
      <c r="FA19" s="678">
        <v>0</v>
      </c>
      <c r="FB19" s="574">
        <f>ROUND(7.56*2.9*0,0)</f>
        <v>0</v>
      </c>
      <c r="FC19" s="678">
        <v>0</v>
      </c>
      <c r="FD19" s="574">
        <f>ROUND(7.56*2.9*0,0)</f>
        <v>0</v>
      </c>
      <c r="FE19" s="678">
        <v>0</v>
      </c>
      <c r="FF19" s="574">
        <f>ROUND(7.56*2.9*0,0)</f>
        <v>0</v>
      </c>
      <c r="FG19" s="678">
        <v>0</v>
      </c>
      <c r="FH19" s="576">
        <f>ROUND(7.56*2.9*0,0)</f>
        <v>0</v>
      </c>
      <c r="FI19" s="550"/>
      <c r="FJ19" s="551"/>
      <c r="FK19" s="683" t="s">
        <v>236</v>
      </c>
      <c r="FL19" s="674"/>
      <c r="FM19" s="570">
        <v>7.56</v>
      </c>
      <c r="FN19" s="675">
        <v>2.9</v>
      </c>
      <c r="FO19" s="676"/>
      <c r="FP19" s="679">
        <v>9</v>
      </c>
      <c r="FQ19" s="680">
        <v>5.0999999999999996</v>
      </c>
      <c r="FR19" s="574">
        <f>ROUND(7.56*2.9*5.1,0)</f>
        <v>112</v>
      </c>
      <c r="FS19" s="681">
        <v>9</v>
      </c>
      <c r="FT19" s="680">
        <v>5.2</v>
      </c>
      <c r="FU19" s="579">
        <f>ROUND(7.56*2.9*5.2,0)</f>
        <v>114</v>
      </c>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3.5</v>
      </c>
      <c r="GO21" s="687"/>
      <c r="GP21" s="688"/>
      <c r="GQ21" s="620">
        <v>0</v>
      </c>
      <c r="GR21" s="621">
        <v>3.5</v>
      </c>
      <c r="GS21" s="565"/>
      <c r="GT21" s="660"/>
      <c r="GU21" s="684" t="s">
        <v>433</v>
      </c>
      <c r="GV21" s="685"/>
      <c r="GW21" s="686"/>
      <c r="GX21" s="689">
        <v>3.5</v>
      </c>
      <c r="GY21" s="690"/>
      <c r="GZ21" s="687"/>
      <c r="HA21" s="691">
        <v>0</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21</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0.17</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506</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96</v>
      </c>
      <c r="Y26" s="1271"/>
      <c r="Z26" s="1264">
        <f>SUM(Z16:Z25)</f>
        <v>128</v>
      </c>
      <c r="AA26" s="1271"/>
      <c r="AB26" s="1264">
        <f>SUM(AB16:AB25)</f>
        <v>164</v>
      </c>
      <c r="AC26" s="1271"/>
      <c r="AD26" s="1264">
        <f>SUM(AD16:AD25)</f>
        <v>199</v>
      </c>
      <c r="AE26" s="1271"/>
      <c r="AF26" s="1264">
        <f>SUM(AF16:AF25)</f>
        <v>234</v>
      </c>
      <c r="AG26" s="1271"/>
      <c r="AH26" s="1264">
        <f>SUM(AH16:AH25)</f>
        <v>269</v>
      </c>
      <c r="AI26" s="1271"/>
      <c r="AJ26" s="1264">
        <f>SUM(AJ16:AJ25)</f>
        <v>304</v>
      </c>
      <c r="AK26" s="1271"/>
      <c r="AL26" s="1264">
        <f>SUM(AL16:AL25)</f>
        <v>342</v>
      </c>
      <c r="AM26" s="1271"/>
      <c r="AN26" s="1264">
        <f>SUM(AN16:AN25)</f>
        <v>366</v>
      </c>
      <c r="AO26" s="1271"/>
      <c r="AP26" s="1264">
        <f>SUM(AP16:AP25)</f>
        <v>377</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538</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83</v>
      </c>
      <c r="CB26" s="1271"/>
      <c r="CC26" s="1264">
        <f>SUM(CC16:CC25)</f>
        <v>109</v>
      </c>
      <c r="CD26" s="1271"/>
      <c r="CE26" s="1264">
        <f>SUM(CE16:CE25)</f>
        <v>145</v>
      </c>
      <c r="CF26" s="1271"/>
      <c r="CG26" s="1264">
        <f>SUM(CG16:CG25)</f>
        <v>173</v>
      </c>
      <c r="CH26" s="1271"/>
      <c r="CI26" s="1264">
        <f>SUM(CI16:CI25)</f>
        <v>203</v>
      </c>
      <c r="CJ26" s="1271"/>
      <c r="CK26" s="1264">
        <f>SUM(CK16:CK25)</f>
        <v>237</v>
      </c>
      <c r="CL26" s="1271"/>
      <c r="CM26" s="1264">
        <f>SUM(CM16:CM25)</f>
        <v>281</v>
      </c>
      <c r="CN26" s="1271"/>
      <c r="CO26" s="1264">
        <f>SUM(CO16:CO25)</f>
        <v>335</v>
      </c>
      <c r="CP26" s="1271"/>
      <c r="CQ26" s="1264">
        <f>SUM(CQ16:CQ25)</f>
        <v>389</v>
      </c>
      <c r="CR26" s="1271"/>
      <c r="CS26" s="1264">
        <f>SUM(CS16:CS25)</f>
        <v>427</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681</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10</v>
      </c>
      <c r="EE26" s="1271"/>
      <c r="EF26" s="1264">
        <f>SUM(EF16:EF25)</f>
        <v>28</v>
      </c>
      <c r="EG26" s="1271"/>
      <c r="EH26" s="1264">
        <f>SUM(EH16:EH25)</f>
        <v>41</v>
      </c>
      <c r="EI26" s="1271"/>
      <c r="EJ26" s="1264">
        <f>SUM(EJ16:EJ25)</f>
        <v>71</v>
      </c>
      <c r="EK26" s="1271"/>
      <c r="EL26" s="1264">
        <f>SUM(EL16:EL25)</f>
        <v>103</v>
      </c>
      <c r="EM26" s="1271"/>
      <c r="EN26" s="1264">
        <f>SUM(EN16:EN25)</f>
        <v>142</v>
      </c>
      <c r="EO26" s="1271"/>
      <c r="EP26" s="1264">
        <f>SUM(EP16:EP25)</f>
        <v>198</v>
      </c>
      <c r="EQ26" s="1271"/>
      <c r="ER26" s="1264">
        <f>SUM(ER16:ER25)</f>
        <v>259</v>
      </c>
      <c r="ES26" s="1271"/>
      <c r="ET26" s="1264">
        <f>SUM(ET16:ET25)</f>
        <v>302</v>
      </c>
      <c r="EU26" s="1271"/>
      <c r="EV26" s="1264">
        <f>SUM(EV16:EV25)</f>
        <v>323</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681</v>
      </c>
      <c r="FN26" s="629"/>
      <c r="FO26" s="629"/>
      <c r="FP26" s="1267"/>
      <c r="FQ26" s="638"/>
      <c r="FR26" s="1264">
        <f>SUM(FR16:FR25)</f>
        <v>774</v>
      </c>
      <c r="FS26" s="1272"/>
      <c r="FT26" s="638"/>
      <c r="FU26" s="1269">
        <f>SUM(FU16:FU25)</f>
        <v>796</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v>
      </c>
      <c r="GZ26" s="567"/>
      <c r="HA26" s="517"/>
      <c r="HB26" s="517"/>
      <c r="HC26" s="517"/>
      <c r="HD26" s="635"/>
      <c r="HE26" s="406"/>
      <c r="HF26" s="406"/>
      <c r="HG26" s="567"/>
      <c r="HH26" s="635"/>
      <c r="HI26" s="406"/>
      <c r="HJ26" s="406"/>
    </row>
    <row r="27" spans="1:218" ht="20.100000000000001" customHeight="1">
      <c r="A27" s="1293" t="s">
        <v>366</v>
      </c>
      <c r="B27" s="721"/>
      <c r="C27" s="722"/>
      <c r="D27" s="650"/>
      <c r="E27" s="722"/>
      <c r="F27" s="722"/>
      <c r="G27" s="723" t="s">
        <v>367</v>
      </c>
      <c r="H27" s="650" t="s">
        <v>368</v>
      </c>
      <c r="I27" s="724" t="s">
        <v>367</v>
      </c>
      <c r="J27" s="650" t="s">
        <v>368</v>
      </c>
      <c r="K27" s="725" t="s">
        <v>367</v>
      </c>
      <c r="L27" s="650" t="s">
        <v>368</v>
      </c>
      <c r="M27" s="725" t="s">
        <v>367</v>
      </c>
      <c r="N27" s="650" t="s">
        <v>368</v>
      </c>
      <c r="O27" s="725" t="s">
        <v>367</v>
      </c>
      <c r="P27" s="650" t="s">
        <v>368</v>
      </c>
      <c r="Q27" s="725" t="s">
        <v>367</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368</v>
      </c>
      <c r="AS27" s="725" t="s">
        <v>367</v>
      </c>
      <c r="AT27" s="650" t="s">
        <v>368</v>
      </c>
      <c r="AU27" s="725" t="s">
        <v>367</v>
      </c>
      <c r="AV27" s="650" t="s">
        <v>368</v>
      </c>
      <c r="AW27" s="725" t="s">
        <v>367</v>
      </c>
      <c r="AX27" s="650" t="s">
        <v>368</v>
      </c>
      <c r="AY27" s="725" t="s">
        <v>367</v>
      </c>
      <c r="AZ27" s="650" t="s">
        <v>368</v>
      </c>
      <c r="BA27" s="725" t="s">
        <v>367</v>
      </c>
      <c r="BB27" s="652" t="s">
        <v>368</v>
      </c>
      <c r="BC27" s="706"/>
      <c r="BD27" s="129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9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v>55</v>
      </c>
      <c r="E28" s="738">
        <v>3</v>
      </c>
      <c r="F28" s="739" t="s">
        <v>373</v>
      </c>
      <c r="G28" s="740"/>
      <c r="H28" s="546"/>
      <c r="I28" s="741"/>
      <c r="J28" s="546"/>
      <c r="K28" s="741"/>
      <c r="L28" s="546"/>
      <c r="M28" s="741"/>
      <c r="N28" s="546"/>
      <c r="O28" s="741"/>
      <c r="P28" s="546"/>
      <c r="Q28" s="741"/>
      <c r="R28" s="546"/>
      <c r="S28" s="741"/>
      <c r="T28" s="546"/>
      <c r="U28" s="741"/>
      <c r="V28" s="546"/>
      <c r="W28" s="741">
        <v>1</v>
      </c>
      <c r="X28" s="546">
        <v>165</v>
      </c>
      <c r="Y28" s="741">
        <v>1</v>
      </c>
      <c r="Z28" s="546">
        <v>165</v>
      </c>
      <c r="AA28" s="741">
        <v>1</v>
      </c>
      <c r="AB28" s="546">
        <v>165</v>
      </c>
      <c r="AC28" s="741">
        <v>1</v>
      </c>
      <c r="AD28" s="546">
        <v>165</v>
      </c>
      <c r="AE28" s="741">
        <v>1</v>
      </c>
      <c r="AF28" s="546">
        <v>165</v>
      </c>
      <c r="AG28" s="741">
        <v>1</v>
      </c>
      <c r="AH28" s="546">
        <v>165</v>
      </c>
      <c r="AI28" s="741">
        <v>1</v>
      </c>
      <c r="AJ28" s="546">
        <v>165</v>
      </c>
      <c r="AK28" s="741">
        <v>1</v>
      </c>
      <c r="AL28" s="546">
        <v>165</v>
      </c>
      <c r="AM28" s="741">
        <v>1</v>
      </c>
      <c r="AN28" s="546">
        <v>165</v>
      </c>
      <c r="AO28" s="741">
        <v>1</v>
      </c>
      <c r="AP28" s="546">
        <v>165</v>
      </c>
      <c r="AQ28" s="741"/>
      <c r="AR28" s="546"/>
      <c r="AS28" s="741"/>
      <c r="AT28" s="546"/>
      <c r="AU28" s="741"/>
      <c r="AV28" s="546"/>
      <c r="AW28" s="741"/>
      <c r="AX28" s="546"/>
      <c r="AY28" s="741"/>
      <c r="AZ28" s="546"/>
      <c r="BA28" s="741"/>
      <c r="BB28" s="667"/>
      <c r="BC28" s="549"/>
      <c r="BD28" s="539"/>
      <c r="BE28" s="735" t="s">
        <v>372</v>
      </c>
      <c r="BF28" s="736"/>
      <c r="BG28" s="737">
        <v>55</v>
      </c>
      <c r="BH28" s="738">
        <v>3</v>
      </c>
      <c r="BI28" s="739" t="s">
        <v>373</v>
      </c>
      <c r="BJ28" s="740"/>
      <c r="BK28" s="546"/>
      <c r="BL28" s="741"/>
      <c r="BM28" s="546"/>
      <c r="BN28" s="741"/>
      <c r="BO28" s="546"/>
      <c r="BP28" s="741"/>
      <c r="BQ28" s="546"/>
      <c r="BR28" s="741"/>
      <c r="BS28" s="546"/>
      <c r="BT28" s="741"/>
      <c r="BU28" s="546"/>
      <c r="BV28" s="741"/>
      <c r="BW28" s="546"/>
      <c r="BX28" s="741"/>
      <c r="BY28" s="546"/>
      <c r="BZ28" s="741">
        <v>1</v>
      </c>
      <c r="CA28" s="546">
        <v>165</v>
      </c>
      <c r="CB28" s="741">
        <v>1</v>
      </c>
      <c r="CC28" s="546">
        <v>165</v>
      </c>
      <c r="CD28" s="741">
        <v>1</v>
      </c>
      <c r="CE28" s="546">
        <v>165</v>
      </c>
      <c r="CF28" s="741">
        <v>1</v>
      </c>
      <c r="CG28" s="546">
        <v>165</v>
      </c>
      <c r="CH28" s="741">
        <v>1</v>
      </c>
      <c r="CI28" s="546">
        <v>165</v>
      </c>
      <c r="CJ28" s="741">
        <v>1</v>
      </c>
      <c r="CK28" s="546">
        <v>165</v>
      </c>
      <c r="CL28" s="741">
        <v>1</v>
      </c>
      <c r="CM28" s="546">
        <v>165</v>
      </c>
      <c r="CN28" s="741">
        <v>1</v>
      </c>
      <c r="CO28" s="546">
        <v>165</v>
      </c>
      <c r="CP28" s="741">
        <v>1</v>
      </c>
      <c r="CQ28" s="546">
        <v>165</v>
      </c>
      <c r="CR28" s="741">
        <v>1</v>
      </c>
      <c r="CS28" s="546">
        <v>165</v>
      </c>
      <c r="CT28" s="741"/>
      <c r="CU28" s="546"/>
      <c r="CV28" s="741"/>
      <c r="CW28" s="546"/>
      <c r="CX28" s="741"/>
      <c r="CY28" s="546"/>
      <c r="CZ28" s="741"/>
      <c r="DA28" s="546"/>
      <c r="DB28" s="741"/>
      <c r="DC28" s="546"/>
      <c r="DD28" s="741"/>
      <c r="DE28" s="667"/>
      <c r="DF28" s="549"/>
      <c r="DG28" s="539"/>
      <c r="DH28" s="735" t="s">
        <v>372</v>
      </c>
      <c r="DI28" s="736"/>
      <c r="DJ28" s="737">
        <v>55</v>
      </c>
      <c r="DK28" s="738">
        <v>3</v>
      </c>
      <c r="DL28" s="739" t="s">
        <v>373</v>
      </c>
      <c r="DM28" s="740"/>
      <c r="DN28" s="546"/>
      <c r="DO28" s="741"/>
      <c r="DP28" s="546"/>
      <c r="DQ28" s="741"/>
      <c r="DR28" s="546"/>
      <c r="DS28" s="741"/>
      <c r="DT28" s="546"/>
      <c r="DU28" s="741"/>
      <c r="DV28" s="546"/>
      <c r="DW28" s="741"/>
      <c r="DX28" s="546"/>
      <c r="DY28" s="741"/>
      <c r="DZ28" s="546"/>
      <c r="EA28" s="741"/>
      <c r="EB28" s="546"/>
      <c r="EC28" s="741">
        <v>1</v>
      </c>
      <c r="ED28" s="546">
        <v>165</v>
      </c>
      <c r="EE28" s="741">
        <v>1</v>
      </c>
      <c r="EF28" s="546">
        <v>165</v>
      </c>
      <c r="EG28" s="741">
        <v>1</v>
      </c>
      <c r="EH28" s="546">
        <v>165</v>
      </c>
      <c r="EI28" s="741">
        <v>1</v>
      </c>
      <c r="EJ28" s="546">
        <v>165</v>
      </c>
      <c r="EK28" s="741">
        <v>1</v>
      </c>
      <c r="EL28" s="546">
        <v>165</v>
      </c>
      <c r="EM28" s="741">
        <v>1</v>
      </c>
      <c r="EN28" s="546">
        <v>165</v>
      </c>
      <c r="EO28" s="741">
        <v>1</v>
      </c>
      <c r="EP28" s="546">
        <v>165</v>
      </c>
      <c r="EQ28" s="741">
        <v>1</v>
      </c>
      <c r="ER28" s="546">
        <v>165</v>
      </c>
      <c r="ES28" s="741">
        <v>1</v>
      </c>
      <c r="ET28" s="546">
        <v>165</v>
      </c>
      <c r="EU28" s="741">
        <v>1</v>
      </c>
      <c r="EV28" s="546">
        <v>165</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8</v>
      </c>
      <c r="E29" s="750">
        <v>21</v>
      </c>
      <c r="F29" s="751" t="s">
        <v>373</v>
      </c>
      <c r="G29" s="752"/>
      <c r="H29" s="574"/>
      <c r="I29" s="753"/>
      <c r="J29" s="574"/>
      <c r="K29" s="753"/>
      <c r="L29" s="574"/>
      <c r="M29" s="753"/>
      <c r="N29" s="574"/>
      <c r="O29" s="753"/>
      <c r="P29" s="574"/>
      <c r="Q29" s="753"/>
      <c r="R29" s="574"/>
      <c r="S29" s="753"/>
      <c r="T29" s="574"/>
      <c r="U29" s="753"/>
      <c r="V29" s="574"/>
      <c r="W29" s="753">
        <v>1</v>
      </c>
      <c r="X29" s="574">
        <v>168</v>
      </c>
      <c r="Y29" s="753">
        <v>1</v>
      </c>
      <c r="Z29" s="574">
        <v>168</v>
      </c>
      <c r="AA29" s="753">
        <v>1</v>
      </c>
      <c r="AB29" s="574">
        <v>168</v>
      </c>
      <c r="AC29" s="753">
        <v>1</v>
      </c>
      <c r="AD29" s="574">
        <v>168</v>
      </c>
      <c r="AE29" s="753">
        <v>1</v>
      </c>
      <c r="AF29" s="574">
        <v>168</v>
      </c>
      <c r="AG29" s="753">
        <v>1</v>
      </c>
      <c r="AH29" s="574">
        <v>168</v>
      </c>
      <c r="AI29" s="753">
        <v>1</v>
      </c>
      <c r="AJ29" s="574">
        <v>168</v>
      </c>
      <c r="AK29" s="753">
        <v>1</v>
      </c>
      <c r="AL29" s="574">
        <v>168</v>
      </c>
      <c r="AM29" s="753">
        <v>1</v>
      </c>
      <c r="AN29" s="574">
        <v>168</v>
      </c>
      <c r="AO29" s="753">
        <v>1</v>
      </c>
      <c r="AP29" s="574">
        <v>168</v>
      </c>
      <c r="AQ29" s="753"/>
      <c r="AR29" s="574"/>
      <c r="AS29" s="753"/>
      <c r="AT29" s="574"/>
      <c r="AU29" s="753"/>
      <c r="AV29" s="574"/>
      <c r="AW29" s="753"/>
      <c r="AX29" s="574"/>
      <c r="AY29" s="753"/>
      <c r="AZ29" s="574"/>
      <c r="BA29" s="753"/>
      <c r="BB29" s="576"/>
      <c r="BC29" s="549"/>
      <c r="BD29" s="539"/>
      <c r="BE29" s="747" t="s">
        <v>374</v>
      </c>
      <c r="BF29" s="748"/>
      <c r="BG29" s="749">
        <v>8</v>
      </c>
      <c r="BH29" s="750">
        <v>21</v>
      </c>
      <c r="BI29" s="751" t="s">
        <v>373</v>
      </c>
      <c r="BJ29" s="752"/>
      <c r="BK29" s="574"/>
      <c r="BL29" s="753"/>
      <c r="BM29" s="574"/>
      <c r="BN29" s="753"/>
      <c r="BO29" s="574"/>
      <c r="BP29" s="753"/>
      <c r="BQ29" s="574"/>
      <c r="BR29" s="753"/>
      <c r="BS29" s="574"/>
      <c r="BT29" s="753"/>
      <c r="BU29" s="574"/>
      <c r="BV29" s="753"/>
      <c r="BW29" s="574"/>
      <c r="BX29" s="753"/>
      <c r="BY29" s="574"/>
      <c r="BZ29" s="753">
        <v>1</v>
      </c>
      <c r="CA29" s="574">
        <v>168</v>
      </c>
      <c r="CB29" s="753">
        <v>1</v>
      </c>
      <c r="CC29" s="574">
        <v>168</v>
      </c>
      <c r="CD29" s="753">
        <v>1</v>
      </c>
      <c r="CE29" s="574">
        <v>168</v>
      </c>
      <c r="CF29" s="753">
        <v>1</v>
      </c>
      <c r="CG29" s="574">
        <v>168</v>
      </c>
      <c r="CH29" s="753">
        <v>1</v>
      </c>
      <c r="CI29" s="574">
        <v>168</v>
      </c>
      <c r="CJ29" s="753">
        <v>1</v>
      </c>
      <c r="CK29" s="574">
        <v>168</v>
      </c>
      <c r="CL29" s="753">
        <v>1</v>
      </c>
      <c r="CM29" s="574">
        <v>168</v>
      </c>
      <c r="CN29" s="753">
        <v>1</v>
      </c>
      <c r="CO29" s="574">
        <v>168</v>
      </c>
      <c r="CP29" s="753">
        <v>1</v>
      </c>
      <c r="CQ29" s="574">
        <v>168</v>
      </c>
      <c r="CR29" s="753">
        <v>1</v>
      </c>
      <c r="CS29" s="574">
        <v>168</v>
      </c>
      <c r="CT29" s="753"/>
      <c r="CU29" s="574"/>
      <c r="CV29" s="753"/>
      <c r="CW29" s="574"/>
      <c r="CX29" s="753"/>
      <c r="CY29" s="574"/>
      <c r="CZ29" s="753"/>
      <c r="DA29" s="574"/>
      <c r="DB29" s="753"/>
      <c r="DC29" s="574"/>
      <c r="DD29" s="753"/>
      <c r="DE29" s="576"/>
      <c r="DF29" s="549"/>
      <c r="DG29" s="539"/>
      <c r="DH29" s="747" t="s">
        <v>374</v>
      </c>
      <c r="DI29" s="748"/>
      <c r="DJ29" s="749">
        <v>8</v>
      </c>
      <c r="DK29" s="750">
        <v>21</v>
      </c>
      <c r="DL29" s="751" t="s">
        <v>373</v>
      </c>
      <c r="DM29" s="752"/>
      <c r="DN29" s="574"/>
      <c r="DO29" s="753"/>
      <c r="DP29" s="574"/>
      <c r="DQ29" s="753"/>
      <c r="DR29" s="574"/>
      <c r="DS29" s="753"/>
      <c r="DT29" s="574"/>
      <c r="DU29" s="753"/>
      <c r="DV29" s="574"/>
      <c r="DW29" s="753"/>
      <c r="DX29" s="574"/>
      <c r="DY29" s="753"/>
      <c r="DZ29" s="574"/>
      <c r="EA29" s="753"/>
      <c r="EB29" s="574"/>
      <c r="EC29" s="753">
        <v>1</v>
      </c>
      <c r="ED29" s="574">
        <v>168</v>
      </c>
      <c r="EE29" s="753">
        <v>1</v>
      </c>
      <c r="EF29" s="574">
        <v>168</v>
      </c>
      <c r="EG29" s="753">
        <v>1</v>
      </c>
      <c r="EH29" s="574">
        <v>168</v>
      </c>
      <c r="EI29" s="753">
        <v>1</v>
      </c>
      <c r="EJ29" s="574">
        <v>168</v>
      </c>
      <c r="EK29" s="753">
        <v>1</v>
      </c>
      <c r="EL29" s="574">
        <v>168</v>
      </c>
      <c r="EM29" s="753">
        <v>1</v>
      </c>
      <c r="EN29" s="574">
        <v>168</v>
      </c>
      <c r="EO29" s="753">
        <v>1</v>
      </c>
      <c r="EP29" s="574">
        <v>168</v>
      </c>
      <c r="EQ29" s="753">
        <v>1</v>
      </c>
      <c r="ER29" s="574">
        <v>168</v>
      </c>
      <c r="ES29" s="753">
        <v>1</v>
      </c>
      <c r="ET29" s="574">
        <v>168</v>
      </c>
      <c r="EU29" s="753">
        <v>1</v>
      </c>
      <c r="EV29" s="574">
        <v>168</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c r="D30" s="750">
        <v>0</v>
      </c>
      <c r="E30" s="759"/>
      <c r="F30" s="760"/>
      <c r="G30" s="752"/>
      <c r="H30" s="574"/>
      <c r="I30" s="753"/>
      <c r="J30" s="574"/>
      <c r="K30" s="753"/>
      <c r="L30" s="574"/>
      <c r="M30" s="753"/>
      <c r="N30" s="574"/>
      <c r="O30" s="753"/>
      <c r="P30" s="574"/>
      <c r="Q30" s="753"/>
      <c r="R30" s="574"/>
      <c r="S30" s="753"/>
      <c r="T30" s="574"/>
      <c r="U30" s="753"/>
      <c r="V30" s="574"/>
      <c r="W30" s="753"/>
      <c r="X30" s="574">
        <v>0</v>
      </c>
      <c r="Y30" s="753"/>
      <c r="Z30" s="574">
        <v>0</v>
      </c>
      <c r="AA30" s="753"/>
      <c r="AB30" s="574">
        <v>0</v>
      </c>
      <c r="AC30" s="753"/>
      <c r="AD30" s="574">
        <v>0</v>
      </c>
      <c r="AE30" s="753"/>
      <c r="AF30" s="574">
        <v>0</v>
      </c>
      <c r="AG30" s="753"/>
      <c r="AH30" s="574">
        <v>0</v>
      </c>
      <c r="AI30" s="753"/>
      <c r="AJ30" s="574">
        <v>0</v>
      </c>
      <c r="AK30" s="753"/>
      <c r="AL30" s="574">
        <v>0</v>
      </c>
      <c r="AM30" s="753"/>
      <c r="AN30" s="574">
        <v>0</v>
      </c>
      <c r="AO30" s="753"/>
      <c r="AP30" s="574">
        <v>0</v>
      </c>
      <c r="AQ30" s="753"/>
      <c r="AR30" s="574"/>
      <c r="AS30" s="753"/>
      <c r="AT30" s="574"/>
      <c r="AU30" s="753"/>
      <c r="AV30" s="574"/>
      <c r="AW30" s="753"/>
      <c r="AX30" s="574"/>
      <c r="AY30" s="753"/>
      <c r="AZ30" s="574"/>
      <c r="BA30" s="753"/>
      <c r="BB30" s="576"/>
      <c r="BC30" s="549"/>
      <c r="BD30" s="539"/>
      <c r="BE30" s="747" t="s">
        <v>375</v>
      </c>
      <c r="BF30" s="749">
        <v>0</v>
      </c>
      <c r="BG30" s="750">
        <v>0</v>
      </c>
      <c r="BH30" s="759">
        <v>0</v>
      </c>
      <c r="BI30" s="760"/>
      <c r="BJ30" s="752"/>
      <c r="BK30" s="574"/>
      <c r="BL30" s="753"/>
      <c r="BM30" s="574"/>
      <c r="BN30" s="753"/>
      <c r="BO30" s="574"/>
      <c r="BP30" s="753"/>
      <c r="BQ30" s="574"/>
      <c r="BR30" s="753"/>
      <c r="BS30" s="574"/>
      <c r="BT30" s="753"/>
      <c r="BU30" s="574"/>
      <c r="BV30" s="753"/>
      <c r="BW30" s="574"/>
      <c r="BX30" s="753"/>
      <c r="BY30" s="574"/>
      <c r="BZ30" s="753"/>
      <c r="CA30" s="574">
        <v>0</v>
      </c>
      <c r="CB30" s="753"/>
      <c r="CC30" s="574">
        <v>0</v>
      </c>
      <c r="CD30" s="753"/>
      <c r="CE30" s="574">
        <v>0</v>
      </c>
      <c r="CF30" s="753"/>
      <c r="CG30" s="574">
        <v>0</v>
      </c>
      <c r="CH30" s="753"/>
      <c r="CI30" s="574">
        <v>0</v>
      </c>
      <c r="CJ30" s="753"/>
      <c r="CK30" s="574">
        <v>0</v>
      </c>
      <c r="CL30" s="753"/>
      <c r="CM30" s="574">
        <v>0</v>
      </c>
      <c r="CN30" s="753"/>
      <c r="CO30" s="574">
        <v>0</v>
      </c>
      <c r="CP30" s="753"/>
      <c r="CQ30" s="574">
        <v>0</v>
      </c>
      <c r="CR30" s="753"/>
      <c r="CS30" s="574">
        <v>0</v>
      </c>
      <c r="CT30" s="753"/>
      <c r="CU30" s="574"/>
      <c r="CV30" s="753"/>
      <c r="CW30" s="574"/>
      <c r="CX30" s="753"/>
      <c r="CY30" s="574"/>
      <c r="CZ30" s="753"/>
      <c r="DA30" s="574"/>
      <c r="DB30" s="753"/>
      <c r="DC30" s="574"/>
      <c r="DD30" s="753"/>
      <c r="DE30" s="576"/>
      <c r="DF30" s="549"/>
      <c r="DG30" s="539"/>
      <c r="DH30" s="747" t="s">
        <v>375</v>
      </c>
      <c r="DI30" s="749">
        <v>0</v>
      </c>
      <c r="DJ30" s="750">
        <v>0</v>
      </c>
      <c r="DK30" s="759">
        <v>0</v>
      </c>
      <c r="DL30" s="760"/>
      <c r="DM30" s="752"/>
      <c r="DN30" s="574"/>
      <c r="DO30" s="753"/>
      <c r="DP30" s="574"/>
      <c r="DQ30" s="753"/>
      <c r="DR30" s="574"/>
      <c r="DS30" s="753"/>
      <c r="DT30" s="574"/>
      <c r="DU30" s="753"/>
      <c r="DV30" s="574"/>
      <c r="DW30" s="753"/>
      <c r="DX30" s="574"/>
      <c r="DY30" s="753"/>
      <c r="DZ30" s="574"/>
      <c r="EA30" s="753"/>
      <c r="EB30" s="574"/>
      <c r="EC30" s="753"/>
      <c r="ED30" s="574">
        <v>0</v>
      </c>
      <c r="EE30" s="753"/>
      <c r="EF30" s="574">
        <v>0</v>
      </c>
      <c r="EG30" s="753"/>
      <c r="EH30" s="574">
        <v>0</v>
      </c>
      <c r="EI30" s="753"/>
      <c r="EJ30" s="574">
        <v>0</v>
      </c>
      <c r="EK30" s="753"/>
      <c r="EL30" s="574">
        <v>0</v>
      </c>
      <c r="EM30" s="753"/>
      <c r="EN30" s="574">
        <v>0</v>
      </c>
      <c r="EO30" s="753"/>
      <c r="EP30" s="574">
        <v>0</v>
      </c>
      <c r="EQ30" s="753"/>
      <c r="ER30" s="574">
        <v>0</v>
      </c>
      <c r="ES30" s="753"/>
      <c r="ET30" s="574">
        <v>0</v>
      </c>
      <c r="EU30" s="753"/>
      <c r="EV30" s="574">
        <v>0</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92"/>
      <c r="J33" s="1264">
        <v>0</v>
      </c>
      <c r="K33" s="1292"/>
      <c r="L33" s="1264">
        <v>0</v>
      </c>
      <c r="M33" s="1292"/>
      <c r="N33" s="1264">
        <v>0</v>
      </c>
      <c r="O33" s="1292"/>
      <c r="P33" s="1264">
        <v>0</v>
      </c>
      <c r="Q33" s="1292"/>
      <c r="R33" s="1264">
        <v>0</v>
      </c>
      <c r="S33" s="1292"/>
      <c r="T33" s="1264">
        <v>0</v>
      </c>
      <c r="U33" s="1292"/>
      <c r="V33" s="1264">
        <v>0</v>
      </c>
      <c r="W33" s="1292"/>
      <c r="X33" s="1264">
        <v>333</v>
      </c>
      <c r="Y33" s="1292"/>
      <c r="Z33" s="1264">
        <v>333</v>
      </c>
      <c r="AA33" s="1292"/>
      <c r="AB33" s="1264">
        <v>333</v>
      </c>
      <c r="AC33" s="1292"/>
      <c r="AD33" s="1264">
        <v>333</v>
      </c>
      <c r="AE33" s="1292"/>
      <c r="AF33" s="1264">
        <v>333</v>
      </c>
      <c r="AG33" s="1292"/>
      <c r="AH33" s="1264">
        <v>333</v>
      </c>
      <c r="AI33" s="1292"/>
      <c r="AJ33" s="1264">
        <v>333</v>
      </c>
      <c r="AK33" s="1292"/>
      <c r="AL33" s="1264">
        <v>333</v>
      </c>
      <c r="AM33" s="1292"/>
      <c r="AN33" s="1264">
        <v>333</v>
      </c>
      <c r="AO33" s="1292"/>
      <c r="AP33" s="1264">
        <v>333</v>
      </c>
      <c r="AQ33" s="1292"/>
      <c r="AR33" s="1264">
        <v>0</v>
      </c>
      <c r="AS33" s="1292"/>
      <c r="AT33" s="1264">
        <v>0</v>
      </c>
      <c r="AU33" s="1292"/>
      <c r="AV33" s="1264">
        <v>0</v>
      </c>
      <c r="AW33" s="1292"/>
      <c r="AX33" s="1264">
        <v>0</v>
      </c>
      <c r="AY33" s="1292"/>
      <c r="AZ33" s="1264">
        <v>0</v>
      </c>
      <c r="BA33" s="1292"/>
      <c r="BB33" s="1266">
        <v>0</v>
      </c>
      <c r="BC33" s="635"/>
      <c r="BD33" s="628"/>
      <c r="BE33" s="629"/>
      <c r="BF33" s="629"/>
      <c r="BG33" s="630" t="s">
        <v>378</v>
      </c>
      <c r="BH33" s="629"/>
      <c r="BI33" s="629"/>
      <c r="BJ33" s="1263"/>
      <c r="BK33" s="1264">
        <v>0</v>
      </c>
      <c r="BL33" s="1292"/>
      <c r="BM33" s="1264">
        <v>0</v>
      </c>
      <c r="BN33" s="1292"/>
      <c r="BO33" s="1264">
        <v>0</v>
      </c>
      <c r="BP33" s="1292"/>
      <c r="BQ33" s="1264">
        <v>0</v>
      </c>
      <c r="BR33" s="1292"/>
      <c r="BS33" s="1264">
        <v>0</v>
      </c>
      <c r="BT33" s="1292"/>
      <c r="BU33" s="1264">
        <v>0</v>
      </c>
      <c r="BV33" s="1292"/>
      <c r="BW33" s="1264">
        <v>0</v>
      </c>
      <c r="BX33" s="1292"/>
      <c r="BY33" s="1264">
        <v>0</v>
      </c>
      <c r="BZ33" s="1292"/>
      <c r="CA33" s="1264">
        <v>333</v>
      </c>
      <c r="CB33" s="1292"/>
      <c r="CC33" s="1264">
        <v>333</v>
      </c>
      <c r="CD33" s="1292"/>
      <c r="CE33" s="1264">
        <v>333</v>
      </c>
      <c r="CF33" s="1292"/>
      <c r="CG33" s="1264">
        <v>333</v>
      </c>
      <c r="CH33" s="1292"/>
      <c r="CI33" s="1264">
        <v>333</v>
      </c>
      <c r="CJ33" s="1292"/>
      <c r="CK33" s="1264">
        <v>333</v>
      </c>
      <c r="CL33" s="1292"/>
      <c r="CM33" s="1264">
        <v>333</v>
      </c>
      <c r="CN33" s="1292"/>
      <c r="CO33" s="1264">
        <v>333</v>
      </c>
      <c r="CP33" s="1292"/>
      <c r="CQ33" s="1264">
        <v>333</v>
      </c>
      <c r="CR33" s="1292"/>
      <c r="CS33" s="1264">
        <v>333</v>
      </c>
      <c r="CT33" s="1292"/>
      <c r="CU33" s="1264">
        <v>0</v>
      </c>
      <c r="CV33" s="1292"/>
      <c r="CW33" s="1264">
        <v>0</v>
      </c>
      <c r="CX33" s="1292"/>
      <c r="CY33" s="1264">
        <v>0</v>
      </c>
      <c r="CZ33" s="1292"/>
      <c r="DA33" s="1264">
        <v>0</v>
      </c>
      <c r="DB33" s="1292"/>
      <c r="DC33" s="1264">
        <v>0</v>
      </c>
      <c r="DD33" s="1292"/>
      <c r="DE33" s="1266">
        <v>0</v>
      </c>
      <c r="DF33" s="635"/>
      <c r="DG33" s="628"/>
      <c r="DH33" s="629"/>
      <c r="DI33" s="629"/>
      <c r="DJ33" s="630" t="s">
        <v>378</v>
      </c>
      <c r="DK33" s="629"/>
      <c r="DL33" s="629"/>
      <c r="DM33" s="1263"/>
      <c r="DN33" s="1264">
        <v>0</v>
      </c>
      <c r="DO33" s="1292"/>
      <c r="DP33" s="1264">
        <v>0</v>
      </c>
      <c r="DQ33" s="1292"/>
      <c r="DR33" s="1264">
        <v>0</v>
      </c>
      <c r="DS33" s="1292"/>
      <c r="DT33" s="1264">
        <v>0</v>
      </c>
      <c r="DU33" s="1292"/>
      <c r="DV33" s="1264">
        <v>0</v>
      </c>
      <c r="DW33" s="1292"/>
      <c r="DX33" s="1264">
        <v>0</v>
      </c>
      <c r="DY33" s="1292"/>
      <c r="DZ33" s="1264">
        <v>0</v>
      </c>
      <c r="EA33" s="1292"/>
      <c r="EB33" s="1264">
        <v>0</v>
      </c>
      <c r="EC33" s="1292"/>
      <c r="ED33" s="1264">
        <v>333</v>
      </c>
      <c r="EE33" s="1292"/>
      <c r="EF33" s="1264">
        <v>333</v>
      </c>
      <c r="EG33" s="1292"/>
      <c r="EH33" s="1264">
        <v>333</v>
      </c>
      <c r="EI33" s="1292"/>
      <c r="EJ33" s="1264">
        <v>333</v>
      </c>
      <c r="EK33" s="1292"/>
      <c r="EL33" s="1264">
        <v>333</v>
      </c>
      <c r="EM33" s="1292"/>
      <c r="EN33" s="1264">
        <v>333</v>
      </c>
      <c r="EO33" s="1292"/>
      <c r="EP33" s="1264">
        <v>333</v>
      </c>
      <c r="EQ33" s="1292"/>
      <c r="ER33" s="1264">
        <v>333</v>
      </c>
      <c r="ES33" s="1292"/>
      <c r="ET33" s="1264">
        <v>333</v>
      </c>
      <c r="EU33" s="1292"/>
      <c r="EV33" s="1264">
        <v>333</v>
      </c>
      <c r="EW33" s="1292"/>
      <c r="EX33" s="1264">
        <v>0</v>
      </c>
      <c r="EY33" s="1292"/>
      <c r="EZ33" s="1264">
        <v>0</v>
      </c>
      <c r="FA33" s="1292"/>
      <c r="FB33" s="1264">
        <v>0</v>
      </c>
      <c r="FC33" s="1292"/>
      <c r="FD33" s="1264">
        <v>0</v>
      </c>
      <c r="FE33" s="1292"/>
      <c r="FF33" s="1264">
        <v>0</v>
      </c>
      <c r="FG33" s="1292"/>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210</v>
      </c>
      <c r="GV33" s="795"/>
      <c r="GW33" s="796">
        <v>7.35</v>
      </c>
      <c r="GX33" s="797">
        <v>31.62</v>
      </c>
      <c r="GY33" s="797">
        <v>6.58</v>
      </c>
      <c r="GZ33" s="797">
        <v>0</v>
      </c>
      <c r="HA33" s="797">
        <v>45.55</v>
      </c>
      <c r="HB33" s="798">
        <v>21</v>
      </c>
      <c r="HC33" s="404"/>
      <c r="HD33" s="635"/>
      <c r="HE33" s="406"/>
      <c r="HF33" s="406"/>
    </row>
    <row r="34" spans="1:219" ht="20.100000000000001" customHeight="1">
      <c r="A34" s="129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9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9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689</v>
      </c>
      <c r="GL34" s="807"/>
      <c r="GM34" s="807"/>
      <c r="GN34" s="807"/>
      <c r="GO34" s="807"/>
      <c r="GP34" s="807"/>
      <c r="GQ34" s="602">
        <v>8.1999999999999993</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95">
        <v>0</v>
      </c>
      <c r="I36" s="1296"/>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97">
        <v>0</v>
      </c>
      <c r="BC36" s="635"/>
      <c r="BD36" s="811"/>
      <c r="BE36" s="629"/>
      <c r="BF36" s="629"/>
      <c r="BG36" s="630" t="s">
        <v>382</v>
      </c>
      <c r="BH36" s="629"/>
      <c r="BI36" s="629"/>
      <c r="BJ36" s="1275"/>
      <c r="BK36" s="1295">
        <v>0</v>
      </c>
      <c r="BL36" s="1296"/>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97">
        <v>0</v>
      </c>
      <c r="DF36" s="635"/>
      <c r="DG36" s="811"/>
      <c r="DH36" s="629"/>
      <c r="DI36" s="629"/>
      <c r="DJ36" s="630" t="s">
        <v>382</v>
      </c>
      <c r="DK36" s="629"/>
      <c r="DL36" s="629"/>
      <c r="DM36" s="1275"/>
      <c r="DN36" s="1295">
        <v>0</v>
      </c>
      <c r="DO36" s="1296"/>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97">
        <v>0</v>
      </c>
      <c r="FI36" s="636"/>
      <c r="FJ36" s="820"/>
      <c r="FK36" s="629"/>
      <c r="FL36" s="629"/>
      <c r="FM36" s="630" t="s">
        <v>382</v>
      </c>
      <c r="FN36" s="629"/>
      <c r="FO36" s="629"/>
      <c r="FP36" s="1267"/>
      <c r="FQ36" s="1296"/>
      <c r="FR36" s="1295">
        <v>0</v>
      </c>
      <c r="FS36" s="1298"/>
      <c r="FT36" s="1296"/>
      <c r="FU36" s="1299">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45.55</v>
      </c>
      <c r="HB38" s="854">
        <v>21</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2.17</v>
      </c>
      <c r="HB39" s="566"/>
      <c r="HC39" s="517"/>
      <c r="HD39" s="549"/>
    </row>
    <row r="40" spans="1:219" ht="20.100000000000001" customHeight="1">
      <c r="A40" s="868"/>
      <c r="B40" s="629"/>
      <c r="C40" s="629"/>
      <c r="D40" s="630" t="s">
        <v>393</v>
      </c>
      <c r="E40" s="629"/>
      <c r="F40" s="629"/>
      <c r="G40" s="1275"/>
      <c r="H40" s="1295">
        <v>0</v>
      </c>
      <c r="I40" s="1296"/>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97">
        <v>0</v>
      </c>
      <c r="BC40" s="635"/>
      <c r="BD40" s="868"/>
      <c r="BE40" s="629"/>
      <c r="BF40" s="629"/>
      <c r="BG40" s="630" t="s">
        <v>393</v>
      </c>
      <c r="BH40" s="629"/>
      <c r="BI40" s="629"/>
      <c r="BJ40" s="1275"/>
      <c r="BK40" s="1295">
        <v>0</v>
      </c>
      <c r="BL40" s="1296"/>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97">
        <v>0</v>
      </c>
      <c r="DF40" s="635"/>
      <c r="DG40" s="868"/>
      <c r="DH40" s="629"/>
      <c r="DI40" s="629"/>
      <c r="DJ40" s="630" t="s">
        <v>393</v>
      </c>
      <c r="DK40" s="629"/>
      <c r="DL40" s="629"/>
      <c r="DM40" s="1275"/>
      <c r="DN40" s="1295">
        <v>0</v>
      </c>
      <c r="DO40" s="1296"/>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97">
        <v>0</v>
      </c>
      <c r="FI40" s="636"/>
      <c r="FJ40" s="820"/>
      <c r="FK40" s="629"/>
      <c r="FL40" s="629"/>
      <c r="FM40" s="630" t="s">
        <v>393</v>
      </c>
      <c r="FN40" s="629"/>
      <c r="FO40" s="629"/>
      <c r="FP40" s="1267"/>
      <c r="FQ40" s="1296"/>
      <c r="FR40" s="1295">
        <v>0</v>
      </c>
      <c r="FS40" s="1298"/>
      <c r="FT40" s="1296"/>
      <c r="FU40" s="1299">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519</v>
      </c>
      <c r="GV40" s="517"/>
      <c r="GW40" s="517"/>
      <c r="GX40" s="517"/>
      <c r="GY40" s="517"/>
      <c r="GZ40" s="517"/>
      <c r="HA40" s="873">
        <v>44.1</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552</v>
      </c>
      <c r="GV41" s="517"/>
      <c r="GW41" s="517"/>
      <c r="GX41" s="517"/>
      <c r="GY41" s="517"/>
      <c r="GZ41" s="517"/>
      <c r="HA41" s="873">
        <v>33.6</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172</v>
      </c>
      <c r="Y42" s="818"/>
      <c r="Z42" s="782">
        <v>103</v>
      </c>
      <c r="AA42" s="818"/>
      <c r="AB42" s="782">
        <v>95</v>
      </c>
      <c r="AC42" s="818"/>
      <c r="AD42" s="782">
        <v>86</v>
      </c>
      <c r="AE42" s="818"/>
      <c r="AF42" s="782">
        <v>80</v>
      </c>
      <c r="AG42" s="818"/>
      <c r="AH42" s="782">
        <v>74</v>
      </c>
      <c r="AI42" s="818"/>
      <c r="AJ42" s="782">
        <v>67</v>
      </c>
      <c r="AK42" s="818"/>
      <c r="AL42" s="782">
        <v>63</v>
      </c>
      <c r="AM42" s="818"/>
      <c r="AN42" s="782">
        <v>57</v>
      </c>
      <c r="AO42" s="818"/>
      <c r="AP42" s="782">
        <v>53</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172</v>
      </c>
      <c r="CB42" s="818"/>
      <c r="CC42" s="782">
        <v>103</v>
      </c>
      <c r="CD42" s="818"/>
      <c r="CE42" s="782">
        <v>95</v>
      </c>
      <c r="CF42" s="818"/>
      <c r="CG42" s="782">
        <v>86</v>
      </c>
      <c r="CH42" s="818"/>
      <c r="CI42" s="782">
        <v>80</v>
      </c>
      <c r="CJ42" s="818"/>
      <c r="CK42" s="782">
        <v>74</v>
      </c>
      <c r="CL42" s="818"/>
      <c r="CM42" s="782">
        <v>67</v>
      </c>
      <c r="CN42" s="818"/>
      <c r="CO42" s="782">
        <v>63</v>
      </c>
      <c r="CP42" s="818"/>
      <c r="CQ42" s="782">
        <v>57</v>
      </c>
      <c r="CR42" s="818"/>
      <c r="CS42" s="782">
        <v>53</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172</v>
      </c>
      <c r="EE42" s="818"/>
      <c r="EF42" s="782">
        <v>103</v>
      </c>
      <c r="EG42" s="818"/>
      <c r="EH42" s="782">
        <v>95</v>
      </c>
      <c r="EI42" s="818"/>
      <c r="EJ42" s="782">
        <v>86</v>
      </c>
      <c r="EK42" s="818"/>
      <c r="EL42" s="782">
        <v>80</v>
      </c>
      <c r="EM42" s="818"/>
      <c r="EN42" s="782">
        <v>74</v>
      </c>
      <c r="EO42" s="818"/>
      <c r="EP42" s="782">
        <v>67</v>
      </c>
      <c r="EQ42" s="818"/>
      <c r="ER42" s="782">
        <v>63</v>
      </c>
      <c r="ES42" s="818"/>
      <c r="ET42" s="782">
        <v>57</v>
      </c>
      <c r="EU42" s="818"/>
      <c r="EV42" s="782">
        <v>53</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368</v>
      </c>
      <c r="FS42" s="822"/>
      <c r="FT42" s="817"/>
      <c r="FU42" s="788">
        <v>368</v>
      </c>
      <c r="FV42" s="580"/>
      <c r="FW42" s="581"/>
      <c r="FX42" s="789"/>
      <c r="FY42" s="583"/>
      <c r="FZ42" s="790"/>
      <c r="GA42" s="585"/>
      <c r="GB42" s="791"/>
      <c r="GC42" s="587"/>
      <c r="GD42" s="791"/>
      <c r="GE42" s="588"/>
      <c r="GF42" s="823"/>
      <c r="GG42" s="589"/>
      <c r="GH42" s="589"/>
      <c r="GI42" s="589"/>
      <c r="GJ42" s="400"/>
      <c r="GK42" s="887"/>
      <c r="GL42" s="888"/>
      <c r="GM42" s="889">
        <v>8.1999999999999993</v>
      </c>
      <c r="GN42" s="889"/>
      <c r="GO42" s="889">
        <v>0</v>
      </c>
      <c r="GP42" s="889"/>
      <c r="GQ42" s="889">
        <v>8.1999999999999993</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688</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95">
        <v>0</v>
      </c>
      <c r="I44" s="1296"/>
      <c r="J44" s="827">
        <v>0</v>
      </c>
      <c r="K44" s="1278"/>
      <c r="L44" s="827">
        <v>0</v>
      </c>
      <c r="M44" s="1278"/>
      <c r="N44" s="827">
        <v>0</v>
      </c>
      <c r="O44" s="1278"/>
      <c r="P44" s="827">
        <v>0</v>
      </c>
      <c r="Q44" s="1278"/>
      <c r="R44" s="827">
        <v>0</v>
      </c>
      <c r="S44" s="1278"/>
      <c r="T44" s="827">
        <v>0</v>
      </c>
      <c r="U44" s="1278"/>
      <c r="V44" s="827">
        <v>0</v>
      </c>
      <c r="W44" s="1278"/>
      <c r="X44" s="827">
        <v>172</v>
      </c>
      <c r="Y44" s="1278"/>
      <c r="Z44" s="827">
        <v>103</v>
      </c>
      <c r="AA44" s="1278"/>
      <c r="AB44" s="827">
        <v>95</v>
      </c>
      <c r="AC44" s="1278"/>
      <c r="AD44" s="827">
        <v>86</v>
      </c>
      <c r="AE44" s="1278"/>
      <c r="AF44" s="827">
        <v>80</v>
      </c>
      <c r="AG44" s="1278"/>
      <c r="AH44" s="827">
        <v>74</v>
      </c>
      <c r="AI44" s="1278"/>
      <c r="AJ44" s="827">
        <v>67</v>
      </c>
      <c r="AK44" s="1278"/>
      <c r="AL44" s="827">
        <v>63</v>
      </c>
      <c r="AM44" s="1278"/>
      <c r="AN44" s="827">
        <v>57</v>
      </c>
      <c r="AO44" s="1278"/>
      <c r="AP44" s="827">
        <v>53</v>
      </c>
      <c r="AQ44" s="1278"/>
      <c r="AR44" s="827">
        <v>0</v>
      </c>
      <c r="AS44" s="1278"/>
      <c r="AT44" s="827">
        <v>0</v>
      </c>
      <c r="AU44" s="1278"/>
      <c r="AV44" s="827">
        <v>0</v>
      </c>
      <c r="AW44" s="1278"/>
      <c r="AX44" s="827">
        <v>0</v>
      </c>
      <c r="AY44" s="1278"/>
      <c r="AZ44" s="827">
        <v>0</v>
      </c>
      <c r="BA44" s="1278"/>
      <c r="BB44" s="1297">
        <v>0</v>
      </c>
      <c r="BC44" s="635"/>
      <c r="BD44" s="912"/>
      <c r="BE44" s="629"/>
      <c r="BF44" s="629"/>
      <c r="BG44" s="630" t="s">
        <v>397</v>
      </c>
      <c r="BH44" s="629"/>
      <c r="BI44" s="629"/>
      <c r="BJ44" s="1275"/>
      <c r="BK44" s="1295">
        <v>0</v>
      </c>
      <c r="BL44" s="1296"/>
      <c r="BM44" s="827">
        <v>0</v>
      </c>
      <c r="BN44" s="1278"/>
      <c r="BO44" s="827">
        <v>0</v>
      </c>
      <c r="BP44" s="1278"/>
      <c r="BQ44" s="827">
        <v>0</v>
      </c>
      <c r="BR44" s="1278"/>
      <c r="BS44" s="827">
        <v>0</v>
      </c>
      <c r="BT44" s="1278"/>
      <c r="BU44" s="827">
        <v>0</v>
      </c>
      <c r="BV44" s="1278"/>
      <c r="BW44" s="827">
        <v>0</v>
      </c>
      <c r="BX44" s="1278"/>
      <c r="BY44" s="827">
        <v>0</v>
      </c>
      <c r="BZ44" s="1278"/>
      <c r="CA44" s="827">
        <v>172</v>
      </c>
      <c r="CB44" s="1278"/>
      <c r="CC44" s="827">
        <v>103</v>
      </c>
      <c r="CD44" s="1278"/>
      <c r="CE44" s="827">
        <v>95</v>
      </c>
      <c r="CF44" s="1278"/>
      <c r="CG44" s="827">
        <v>86</v>
      </c>
      <c r="CH44" s="1278"/>
      <c r="CI44" s="827">
        <v>80</v>
      </c>
      <c r="CJ44" s="1278"/>
      <c r="CK44" s="827">
        <v>74</v>
      </c>
      <c r="CL44" s="1278"/>
      <c r="CM44" s="827">
        <v>67</v>
      </c>
      <c r="CN44" s="1278"/>
      <c r="CO44" s="827">
        <v>63</v>
      </c>
      <c r="CP44" s="1278"/>
      <c r="CQ44" s="827">
        <v>57</v>
      </c>
      <c r="CR44" s="1278"/>
      <c r="CS44" s="827">
        <v>53</v>
      </c>
      <c r="CT44" s="1278"/>
      <c r="CU44" s="827">
        <v>0</v>
      </c>
      <c r="CV44" s="1278"/>
      <c r="CW44" s="827">
        <v>0</v>
      </c>
      <c r="CX44" s="1278"/>
      <c r="CY44" s="827">
        <v>0</v>
      </c>
      <c r="CZ44" s="1278"/>
      <c r="DA44" s="827">
        <v>0</v>
      </c>
      <c r="DB44" s="1278"/>
      <c r="DC44" s="827">
        <v>0</v>
      </c>
      <c r="DD44" s="1278"/>
      <c r="DE44" s="1297">
        <v>0</v>
      </c>
      <c r="DF44" s="635"/>
      <c r="DG44" s="912"/>
      <c r="DH44" s="629"/>
      <c r="DI44" s="629"/>
      <c r="DJ44" s="630" t="s">
        <v>397</v>
      </c>
      <c r="DK44" s="629"/>
      <c r="DL44" s="629"/>
      <c r="DM44" s="1275"/>
      <c r="DN44" s="1295">
        <v>0</v>
      </c>
      <c r="DO44" s="1296"/>
      <c r="DP44" s="827">
        <v>0</v>
      </c>
      <c r="DQ44" s="1278"/>
      <c r="DR44" s="827">
        <v>0</v>
      </c>
      <c r="DS44" s="1278"/>
      <c r="DT44" s="827">
        <v>0</v>
      </c>
      <c r="DU44" s="1278"/>
      <c r="DV44" s="827">
        <v>0</v>
      </c>
      <c r="DW44" s="1278"/>
      <c r="DX44" s="827">
        <v>0</v>
      </c>
      <c r="DY44" s="1278"/>
      <c r="DZ44" s="827">
        <v>0</v>
      </c>
      <c r="EA44" s="1278"/>
      <c r="EB44" s="827">
        <v>0</v>
      </c>
      <c r="EC44" s="1278"/>
      <c r="ED44" s="827">
        <v>172</v>
      </c>
      <c r="EE44" s="1278"/>
      <c r="EF44" s="827">
        <v>103</v>
      </c>
      <c r="EG44" s="1278"/>
      <c r="EH44" s="827">
        <v>95</v>
      </c>
      <c r="EI44" s="1278"/>
      <c r="EJ44" s="827">
        <v>86</v>
      </c>
      <c r="EK44" s="1278"/>
      <c r="EL44" s="827">
        <v>80</v>
      </c>
      <c r="EM44" s="1278"/>
      <c r="EN44" s="827">
        <v>74</v>
      </c>
      <c r="EO44" s="1278"/>
      <c r="EP44" s="827">
        <v>67</v>
      </c>
      <c r="EQ44" s="1278"/>
      <c r="ER44" s="827">
        <v>63</v>
      </c>
      <c r="ES44" s="1278"/>
      <c r="ET44" s="827">
        <v>57</v>
      </c>
      <c r="EU44" s="1278"/>
      <c r="EV44" s="827">
        <v>53</v>
      </c>
      <c r="EW44" s="1278"/>
      <c r="EX44" s="827">
        <v>0</v>
      </c>
      <c r="EY44" s="1278"/>
      <c r="EZ44" s="827">
        <v>0</v>
      </c>
      <c r="FA44" s="1278"/>
      <c r="FB44" s="827">
        <v>0</v>
      </c>
      <c r="FC44" s="1278"/>
      <c r="FD44" s="827">
        <v>0</v>
      </c>
      <c r="FE44" s="1278"/>
      <c r="FF44" s="827">
        <v>0</v>
      </c>
      <c r="FG44" s="1278"/>
      <c r="FH44" s="1297">
        <v>0</v>
      </c>
      <c r="FI44" s="636"/>
      <c r="FJ44" s="913"/>
      <c r="FK44" s="629"/>
      <c r="FL44" s="629"/>
      <c r="FM44" s="630" t="s">
        <v>397</v>
      </c>
      <c r="FN44" s="629"/>
      <c r="FO44" s="629"/>
      <c r="FP44" s="1267"/>
      <c r="FQ44" s="1296"/>
      <c r="FR44" s="1295">
        <v>368</v>
      </c>
      <c r="FS44" s="1298"/>
      <c r="FT44" s="1296"/>
      <c r="FU44" s="1299">
        <v>368</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5.3</v>
      </c>
      <c r="GN44" s="914"/>
      <c r="GO44" s="914">
        <v>0</v>
      </c>
      <c r="GP44" s="914"/>
      <c r="GQ44" s="889">
        <v>5.3</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688</v>
      </c>
      <c r="Y45" s="923"/>
      <c r="Z45" s="922">
        <v>658</v>
      </c>
      <c r="AA45" s="923"/>
      <c r="AB45" s="922">
        <v>688</v>
      </c>
      <c r="AC45" s="923"/>
      <c r="AD45" s="922">
        <v>713</v>
      </c>
      <c r="AE45" s="923"/>
      <c r="AF45" s="922">
        <v>741</v>
      </c>
      <c r="AG45" s="923"/>
      <c r="AH45" s="922">
        <v>767</v>
      </c>
      <c r="AI45" s="923"/>
      <c r="AJ45" s="922">
        <v>785</v>
      </c>
      <c r="AK45" s="923"/>
      <c r="AL45" s="922">
        <v>802</v>
      </c>
      <c r="AM45" s="923"/>
      <c r="AN45" s="922">
        <v>819</v>
      </c>
      <c r="AO45" s="923"/>
      <c r="AP45" s="922">
        <v>789</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653</v>
      </c>
      <c r="CB45" s="923"/>
      <c r="CC45" s="922">
        <v>610</v>
      </c>
      <c r="CD45" s="923"/>
      <c r="CE45" s="922">
        <v>635</v>
      </c>
      <c r="CF45" s="923"/>
      <c r="CG45" s="922">
        <v>652</v>
      </c>
      <c r="CH45" s="923"/>
      <c r="CI45" s="922">
        <v>680</v>
      </c>
      <c r="CJ45" s="923"/>
      <c r="CK45" s="922">
        <v>710</v>
      </c>
      <c r="CL45" s="923"/>
      <c r="CM45" s="922">
        <v>745</v>
      </c>
      <c r="CN45" s="923"/>
      <c r="CO45" s="922">
        <v>783</v>
      </c>
      <c r="CP45" s="923"/>
      <c r="CQ45" s="922">
        <v>872</v>
      </c>
      <c r="CR45" s="923"/>
      <c r="CS45" s="922">
        <v>895</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571</v>
      </c>
      <c r="EE45" s="923"/>
      <c r="EF45" s="922">
        <v>521</v>
      </c>
      <c r="EG45" s="923"/>
      <c r="EH45" s="922">
        <v>527</v>
      </c>
      <c r="EI45" s="923"/>
      <c r="EJ45" s="922">
        <v>547</v>
      </c>
      <c r="EK45" s="923"/>
      <c r="EL45" s="922">
        <v>574</v>
      </c>
      <c r="EM45" s="923"/>
      <c r="EN45" s="922">
        <v>606</v>
      </c>
      <c r="EO45" s="923"/>
      <c r="EP45" s="922">
        <v>650</v>
      </c>
      <c r="EQ45" s="923"/>
      <c r="ER45" s="922">
        <v>695</v>
      </c>
      <c r="ES45" s="923"/>
      <c r="ET45" s="922">
        <v>711</v>
      </c>
      <c r="EU45" s="923"/>
      <c r="EV45" s="922">
        <v>711</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1142</v>
      </c>
      <c r="FS45" s="927"/>
      <c r="FT45" s="926"/>
      <c r="FU45" s="928">
        <v>1164</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515</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515</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516</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722</v>
      </c>
      <c r="Y47" s="955"/>
      <c r="Z47" s="954">
        <v>691</v>
      </c>
      <c r="AA47" s="955"/>
      <c r="AB47" s="954">
        <v>722</v>
      </c>
      <c r="AC47" s="955"/>
      <c r="AD47" s="954">
        <v>749</v>
      </c>
      <c r="AE47" s="955"/>
      <c r="AF47" s="954">
        <v>778</v>
      </c>
      <c r="AG47" s="955"/>
      <c r="AH47" s="954">
        <v>805</v>
      </c>
      <c r="AI47" s="955"/>
      <c r="AJ47" s="954">
        <v>824</v>
      </c>
      <c r="AK47" s="955"/>
      <c r="AL47" s="954">
        <v>842</v>
      </c>
      <c r="AM47" s="955"/>
      <c r="AN47" s="954">
        <v>860</v>
      </c>
      <c r="AO47" s="955"/>
      <c r="AP47" s="954">
        <v>828</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686</v>
      </c>
      <c r="CB47" s="955"/>
      <c r="CC47" s="954">
        <v>641</v>
      </c>
      <c r="CD47" s="955"/>
      <c r="CE47" s="954">
        <v>667</v>
      </c>
      <c r="CF47" s="955"/>
      <c r="CG47" s="954">
        <v>685</v>
      </c>
      <c r="CH47" s="955"/>
      <c r="CI47" s="954">
        <v>714</v>
      </c>
      <c r="CJ47" s="955"/>
      <c r="CK47" s="954">
        <v>746</v>
      </c>
      <c r="CL47" s="955"/>
      <c r="CM47" s="954">
        <v>782</v>
      </c>
      <c r="CN47" s="955"/>
      <c r="CO47" s="954">
        <v>822</v>
      </c>
      <c r="CP47" s="955"/>
      <c r="CQ47" s="954">
        <v>916</v>
      </c>
      <c r="CR47" s="955"/>
      <c r="CS47" s="954">
        <v>940</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600</v>
      </c>
      <c r="EE47" s="955"/>
      <c r="EF47" s="954">
        <v>547</v>
      </c>
      <c r="EG47" s="955"/>
      <c r="EH47" s="954">
        <v>553</v>
      </c>
      <c r="EI47" s="955"/>
      <c r="EJ47" s="954">
        <v>574</v>
      </c>
      <c r="EK47" s="955"/>
      <c r="EL47" s="954">
        <v>603</v>
      </c>
      <c r="EM47" s="955"/>
      <c r="EN47" s="954">
        <v>636</v>
      </c>
      <c r="EO47" s="955"/>
      <c r="EP47" s="954">
        <v>683</v>
      </c>
      <c r="EQ47" s="955"/>
      <c r="ER47" s="954">
        <v>730</v>
      </c>
      <c r="ES47" s="955"/>
      <c r="ET47" s="954">
        <v>747</v>
      </c>
      <c r="EU47" s="955"/>
      <c r="EV47" s="954">
        <v>747</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1142</v>
      </c>
      <c r="FS47" s="963"/>
      <c r="FT47" s="962"/>
      <c r="FU47" s="964">
        <v>1164</v>
      </c>
      <c r="FV47" s="965">
        <v>17</v>
      </c>
      <c r="FW47" s="954">
        <v>860</v>
      </c>
      <c r="FX47" s="966">
        <v>18</v>
      </c>
      <c r="FY47" s="954">
        <v>940</v>
      </c>
      <c r="FZ47" s="966">
        <v>18</v>
      </c>
      <c r="GA47" s="954">
        <v>747</v>
      </c>
      <c r="GB47" s="967" t="s">
        <v>684</v>
      </c>
      <c r="GC47" s="954">
        <v>940</v>
      </c>
      <c r="GD47" s="967" t="s">
        <v>332</v>
      </c>
      <c r="GE47" s="968">
        <v>1164</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v>66</v>
      </c>
      <c r="E49" s="738">
        <v>3</v>
      </c>
      <c r="F49" s="982" t="s">
        <v>373</v>
      </c>
      <c r="G49" s="740"/>
      <c r="H49" s="546"/>
      <c r="I49" s="741"/>
      <c r="J49" s="546"/>
      <c r="K49" s="741"/>
      <c r="L49" s="546"/>
      <c r="M49" s="741"/>
      <c r="N49" s="546"/>
      <c r="O49" s="741"/>
      <c r="P49" s="546"/>
      <c r="Q49" s="741"/>
      <c r="R49" s="546"/>
      <c r="S49" s="741"/>
      <c r="T49" s="546"/>
      <c r="U49" s="741"/>
      <c r="V49" s="546"/>
      <c r="W49" s="741">
        <v>1</v>
      </c>
      <c r="X49" s="546">
        <v>198</v>
      </c>
      <c r="Y49" s="741">
        <v>1</v>
      </c>
      <c r="Z49" s="546">
        <v>198</v>
      </c>
      <c r="AA49" s="741">
        <v>1</v>
      </c>
      <c r="AB49" s="546">
        <v>198</v>
      </c>
      <c r="AC49" s="741">
        <v>1</v>
      </c>
      <c r="AD49" s="546">
        <v>198</v>
      </c>
      <c r="AE49" s="741">
        <v>1</v>
      </c>
      <c r="AF49" s="546">
        <v>198</v>
      </c>
      <c r="AG49" s="741">
        <v>1</v>
      </c>
      <c r="AH49" s="546">
        <v>198</v>
      </c>
      <c r="AI49" s="741">
        <v>1</v>
      </c>
      <c r="AJ49" s="546">
        <v>198</v>
      </c>
      <c r="AK49" s="741">
        <v>1</v>
      </c>
      <c r="AL49" s="546">
        <v>198</v>
      </c>
      <c r="AM49" s="741">
        <v>1</v>
      </c>
      <c r="AN49" s="546">
        <v>198</v>
      </c>
      <c r="AO49" s="741">
        <v>1</v>
      </c>
      <c r="AP49" s="546">
        <v>198</v>
      </c>
      <c r="AQ49" s="741"/>
      <c r="AR49" s="546"/>
      <c r="AS49" s="741"/>
      <c r="AT49" s="546"/>
      <c r="AU49" s="741"/>
      <c r="AV49" s="546"/>
      <c r="AW49" s="741"/>
      <c r="AX49" s="546"/>
      <c r="AY49" s="983"/>
      <c r="AZ49" s="984"/>
      <c r="BA49" s="985"/>
      <c r="BB49" s="986"/>
      <c r="BC49" s="917"/>
      <c r="BD49" s="980"/>
      <c r="BE49" s="735" t="s">
        <v>372</v>
      </c>
      <c r="BF49" s="981"/>
      <c r="BG49" s="737"/>
      <c r="BH49" s="738">
        <v>3</v>
      </c>
      <c r="BI49" s="982" t="s">
        <v>373</v>
      </c>
      <c r="BJ49" s="740"/>
      <c r="BK49" s="546"/>
      <c r="BL49" s="741"/>
      <c r="BM49" s="546"/>
      <c r="BN49" s="741"/>
      <c r="BO49" s="546"/>
      <c r="BP49" s="741"/>
      <c r="BQ49" s="546"/>
      <c r="BR49" s="741"/>
      <c r="BS49" s="546"/>
      <c r="BT49" s="741"/>
      <c r="BU49" s="546"/>
      <c r="BV49" s="741"/>
      <c r="BW49" s="546"/>
      <c r="BX49" s="741"/>
      <c r="BY49" s="546"/>
      <c r="BZ49" s="741">
        <v>1</v>
      </c>
      <c r="CA49" s="546">
        <v>198</v>
      </c>
      <c r="CB49" s="741">
        <v>1</v>
      </c>
      <c r="CC49" s="546">
        <v>198</v>
      </c>
      <c r="CD49" s="741">
        <v>1</v>
      </c>
      <c r="CE49" s="546">
        <v>198</v>
      </c>
      <c r="CF49" s="741">
        <v>1</v>
      </c>
      <c r="CG49" s="546">
        <v>198</v>
      </c>
      <c r="CH49" s="741">
        <v>1</v>
      </c>
      <c r="CI49" s="546">
        <v>198</v>
      </c>
      <c r="CJ49" s="741">
        <v>1</v>
      </c>
      <c r="CK49" s="546">
        <v>198</v>
      </c>
      <c r="CL49" s="741">
        <v>1</v>
      </c>
      <c r="CM49" s="546">
        <v>198</v>
      </c>
      <c r="CN49" s="741">
        <v>1</v>
      </c>
      <c r="CO49" s="546">
        <v>198</v>
      </c>
      <c r="CP49" s="741">
        <v>1</v>
      </c>
      <c r="CQ49" s="546">
        <v>198</v>
      </c>
      <c r="CR49" s="741">
        <v>1</v>
      </c>
      <c r="CS49" s="546">
        <v>198</v>
      </c>
      <c r="CT49" s="741"/>
      <c r="CU49" s="546"/>
      <c r="CV49" s="741"/>
      <c r="CW49" s="546"/>
      <c r="CX49" s="741"/>
      <c r="CY49" s="546"/>
      <c r="CZ49" s="741"/>
      <c r="DA49" s="546"/>
      <c r="DB49" s="983"/>
      <c r="DC49" s="984"/>
      <c r="DD49" s="985"/>
      <c r="DE49" s="986"/>
      <c r="DF49" s="917"/>
      <c r="DG49" s="980"/>
      <c r="DH49" s="735" t="s">
        <v>372</v>
      </c>
      <c r="DI49" s="981"/>
      <c r="DJ49" s="737"/>
      <c r="DK49" s="738">
        <v>3</v>
      </c>
      <c r="DL49" s="982" t="s">
        <v>373</v>
      </c>
      <c r="DM49" s="740"/>
      <c r="DN49" s="546"/>
      <c r="DO49" s="741"/>
      <c r="DP49" s="546"/>
      <c r="DQ49" s="741"/>
      <c r="DR49" s="546"/>
      <c r="DS49" s="741"/>
      <c r="DT49" s="546"/>
      <c r="DU49" s="741"/>
      <c r="DV49" s="546"/>
      <c r="DW49" s="741"/>
      <c r="DX49" s="546"/>
      <c r="DY49" s="741"/>
      <c r="DZ49" s="546"/>
      <c r="EA49" s="741"/>
      <c r="EB49" s="546"/>
      <c r="EC49" s="741">
        <v>1</v>
      </c>
      <c r="ED49" s="546">
        <v>198</v>
      </c>
      <c r="EE49" s="741">
        <v>1</v>
      </c>
      <c r="EF49" s="546">
        <v>198</v>
      </c>
      <c r="EG49" s="741">
        <v>1</v>
      </c>
      <c r="EH49" s="546">
        <v>198</v>
      </c>
      <c r="EI49" s="741">
        <v>1</v>
      </c>
      <c r="EJ49" s="546">
        <v>198</v>
      </c>
      <c r="EK49" s="741">
        <v>1</v>
      </c>
      <c r="EL49" s="546">
        <v>198</v>
      </c>
      <c r="EM49" s="741">
        <v>1</v>
      </c>
      <c r="EN49" s="546">
        <v>198</v>
      </c>
      <c r="EO49" s="741">
        <v>1</v>
      </c>
      <c r="EP49" s="546">
        <v>198</v>
      </c>
      <c r="EQ49" s="741">
        <v>1</v>
      </c>
      <c r="ER49" s="546">
        <v>198</v>
      </c>
      <c r="ES49" s="741">
        <v>1</v>
      </c>
      <c r="ET49" s="546">
        <v>198</v>
      </c>
      <c r="EU49" s="741">
        <v>1</v>
      </c>
      <c r="EV49" s="546">
        <v>198</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690</v>
      </c>
      <c r="GV50" s="567"/>
      <c r="GW50" s="567"/>
      <c r="GX50" s="567"/>
      <c r="GY50" s="602"/>
      <c r="GZ50" s="566"/>
      <c r="HA50" s="602">
        <v>17.5</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17.5</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198</v>
      </c>
      <c r="Y52" s="1038"/>
      <c r="Z52" s="1037">
        <v>198</v>
      </c>
      <c r="AA52" s="1038"/>
      <c r="AB52" s="1037">
        <v>198</v>
      </c>
      <c r="AC52" s="1038"/>
      <c r="AD52" s="1037">
        <v>198</v>
      </c>
      <c r="AE52" s="1038"/>
      <c r="AF52" s="1037">
        <v>198</v>
      </c>
      <c r="AG52" s="1038"/>
      <c r="AH52" s="1037">
        <v>198</v>
      </c>
      <c r="AI52" s="1038"/>
      <c r="AJ52" s="1037">
        <v>198</v>
      </c>
      <c r="AK52" s="1038"/>
      <c r="AL52" s="1037">
        <v>198</v>
      </c>
      <c r="AM52" s="1038"/>
      <c r="AN52" s="1037">
        <v>198</v>
      </c>
      <c r="AO52" s="1038"/>
      <c r="AP52" s="1037">
        <v>198</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198</v>
      </c>
      <c r="CB52" s="1038"/>
      <c r="CC52" s="1037">
        <v>198</v>
      </c>
      <c r="CD52" s="1038"/>
      <c r="CE52" s="1037">
        <v>198</v>
      </c>
      <c r="CF52" s="1038"/>
      <c r="CG52" s="1037">
        <v>198</v>
      </c>
      <c r="CH52" s="1038"/>
      <c r="CI52" s="1037">
        <v>198</v>
      </c>
      <c r="CJ52" s="1038"/>
      <c r="CK52" s="1037">
        <v>198</v>
      </c>
      <c r="CL52" s="1038"/>
      <c r="CM52" s="1037">
        <v>198</v>
      </c>
      <c r="CN52" s="1038"/>
      <c r="CO52" s="1037">
        <v>198</v>
      </c>
      <c r="CP52" s="1038"/>
      <c r="CQ52" s="1037">
        <v>198</v>
      </c>
      <c r="CR52" s="1038"/>
      <c r="CS52" s="1037">
        <v>198</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198</v>
      </c>
      <c r="EE52" s="1038"/>
      <c r="EF52" s="1037">
        <v>198</v>
      </c>
      <c r="EG52" s="1038"/>
      <c r="EH52" s="1037">
        <v>198</v>
      </c>
      <c r="EI52" s="1038"/>
      <c r="EJ52" s="1037">
        <v>198</v>
      </c>
      <c r="EK52" s="1038"/>
      <c r="EL52" s="1037">
        <v>198</v>
      </c>
      <c r="EM52" s="1038"/>
      <c r="EN52" s="1037">
        <v>198</v>
      </c>
      <c r="EO52" s="1038"/>
      <c r="EP52" s="1037">
        <v>198</v>
      </c>
      <c r="EQ52" s="1038"/>
      <c r="ER52" s="1037">
        <v>198</v>
      </c>
      <c r="ES52" s="1038"/>
      <c r="ET52" s="1037">
        <v>198</v>
      </c>
      <c r="EU52" s="1038"/>
      <c r="EV52" s="1037">
        <v>198</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17</v>
      </c>
      <c r="FW52" s="1048">
        <v>198</v>
      </c>
      <c r="FX52" s="1049">
        <v>18</v>
      </c>
      <c r="FY52" s="1048">
        <v>198</v>
      </c>
      <c r="FZ52" s="1049">
        <v>18</v>
      </c>
      <c r="GA52" s="1048">
        <v>198</v>
      </c>
      <c r="GB52" s="1050" t="s">
        <v>684</v>
      </c>
      <c r="GC52" s="1051">
        <v>198</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920</v>
      </c>
      <c r="Y53" s="1065"/>
      <c r="Z53" s="1064">
        <v>889</v>
      </c>
      <c r="AA53" s="1065"/>
      <c r="AB53" s="1064">
        <v>920</v>
      </c>
      <c r="AC53" s="1065"/>
      <c r="AD53" s="1064">
        <v>947</v>
      </c>
      <c r="AE53" s="1065"/>
      <c r="AF53" s="1064">
        <v>976</v>
      </c>
      <c r="AG53" s="1065"/>
      <c r="AH53" s="1064">
        <v>1003</v>
      </c>
      <c r="AI53" s="1065"/>
      <c r="AJ53" s="1064">
        <v>1022</v>
      </c>
      <c r="AK53" s="1065"/>
      <c r="AL53" s="1064">
        <v>1040</v>
      </c>
      <c r="AM53" s="1065"/>
      <c r="AN53" s="1064">
        <v>1058</v>
      </c>
      <c r="AO53" s="1065"/>
      <c r="AP53" s="1064">
        <v>1026</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884</v>
      </c>
      <c r="CB53" s="1065"/>
      <c r="CC53" s="1064">
        <v>839</v>
      </c>
      <c r="CD53" s="1065"/>
      <c r="CE53" s="1064">
        <v>865</v>
      </c>
      <c r="CF53" s="1065"/>
      <c r="CG53" s="1064">
        <v>883</v>
      </c>
      <c r="CH53" s="1065"/>
      <c r="CI53" s="1064">
        <v>912</v>
      </c>
      <c r="CJ53" s="1065"/>
      <c r="CK53" s="1064">
        <v>944</v>
      </c>
      <c r="CL53" s="1065"/>
      <c r="CM53" s="1064">
        <v>980</v>
      </c>
      <c r="CN53" s="1065"/>
      <c r="CO53" s="1064">
        <v>1020</v>
      </c>
      <c r="CP53" s="1065"/>
      <c r="CQ53" s="1064">
        <v>1114</v>
      </c>
      <c r="CR53" s="1065"/>
      <c r="CS53" s="1064">
        <v>1138</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798</v>
      </c>
      <c r="EE53" s="1065"/>
      <c r="EF53" s="1064">
        <v>745</v>
      </c>
      <c r="EG53" s="1065"/>
      <c r="EH53" s="1064">
        <v>751</v>
      </c>
      <c r="EI53" s="1065"/>
      <c r="EJ53" s="1064">
        <v>772</v>
      </c>
      <c r="EK53" s="1065"/>
      <c r="EL53" s="1064">
        <v>801</v>
      </c>
      <c r="EM53" s="1065"/>
      <c r="EN53" s="1064">
        <v>834</v>
      </c>
      <c r="EO53" s="1065"/>
      <c r="EP53" s="1064">
        <v>881</v>
      </c>
      <c r="EQ53" s="1065"/>
      <c r="ER53" s="1064">
        <v>928</v>
      </c>
      <c r="ES53" s="1065"/>
      <c r="ET53" s="1064">
        <v>945</v>
      </c>
      <c r="EU53" s="1065"/>
      <c r="EV53" s="1064">
        <v>945</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1142</v>
      </c>
      <c r="FS53" s="1072"/>
      <c r="FT53" s="1071"/>
      <c r="FU53" s="1073">
        <v>1164</v>
      </c>
      <c r="FV53" s="1074">
        <v>17</v>
      </c>
      <c r="FW53" s="1075">
        <v>1058</v>
      </c>
      <c r="FX53" s="1076">
        <v>18</v>
      </c>
      <c r="FY53" s="1075">
        <v>1138</v>
      </c>
      <c r="FZ53" s="1076">
        <v>18</v>
      </c>
      <c r="GA53" s="1075">
        <v>945</v>
      </c>
      <c r="GB53" s="1077" t="s">
        <v>684</v>
      </c>
      <c r="GC53" s="1075">
        <v>1138</v>
      </c>
      <c r="GD53" s="1077" t="s">
        <v>332</v>
      </c>
      <c r="GE53" s="1078">
        <v>1164</v>
      </c>
      <c r="GF53" s="671"/>
      <c r="GG53" s="969"/>
      <c r="GH53" s="969"/>
      <c r="GI53" s="969"/>
      <c r="GJ53" s="932"/>
      <c r="GK53" s="404"/>
      <c r="GL53" s="1079">
        <v>10</v>
      </c>
      <c r="GM53" s="1080">
        <v>1</v>
      </c>
      <c r="GN53" s="1081">
        <v>0.92</v>
      </c>
      <c r="GO53" s="1082">
        <v>4.9000000000000004</v>
      </c>
      <c r="GP53" s="1082">
        <v>0</v>
      </c>
      <c r="GQ53" s="1083">
        <v>4.9000000000000004</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43.8</v>
      </c>
      <c r="Y54" s="1092"/>
      <c r="Z54" s="1091">
        <v>42.3</v>
      </c>
      <c r="AA54" s="1092"/>
      <c r="AB54" s="1091">
        <v>43.8</v>
      </c>
      <c r="AC54" s="1092"/>
      <c r="AD54" s="1091">
        <v>45.1</v>
      </c>
      <c r="AE54" s="1092"/>
      <c r="AF54" s="1091">
        <v>46.5</v>
      </c>
      <c r="AG54" s="1092"/>
      <c r="AH54" s="1091">
        <v>47.8</v>
      </c>
      <c r="AI54" s="1092"/>
      <c r="AJ54" s="1091">
        <v>48.7</v>
      </c>
      <c r="AK54" s="1092"/>
      <c r="AL54" s="1091">
        <v>49.5</v>
      </c>
      <c r="AM54" s="1092"/>
      <c r="AN54" s="1091">
        <v>50.4</v>
      </c>
      <c r="AO54" s="1092"/>
      <c r="AP54" s="1091">
        <v>48.9</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42.1</v>
      </c>
      <c r="CB54" s="1092"/>
      <c r="CC54" s="1091">
        <v>40</v>
      </c>
      <c r="CD54" s="1092"/>
      <c r="CE54" s="1091">
        <v>41.2</v>
      </c>
      <c r="CF54" s="1092"/>
      <c r="CG54" s="1091">
        <v>42</v>
      </c>
      <c r="CH54" s="1092"/>
      <c r="CI54" s="1091">
        <v>43.4</v>
      </c>
      <c r="CJ54" s="1092"/>
      <c r="CK54" s="1091">
        <v>45</v>
      </c>
      <c r="CL54" s="1092"/>
      <c r="CM54" s="1091">
        <v>46.7</v>
      </c>
      <c r="CN54" s="1092"/>
      <c r="CO54" s="1091">
        <v>48.6</v>
      </c>
      <c r="CP54" s="1092"/>
      <c r="CQ54" s="1091">
        <v>53</v>
      </c>
      <c r="CR54" s="1092"/>
      <c r="CS54" s="1091">
        <v>54.2</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38</v>
      </c>
      <c r="EE54" s="1092"/>
      <c r="EF54" s="1091">
        <v>35.5</v>
      </c>
      <c r="EG54" s="1092"/>
      <c r="EH54" s="1091">
        <v>35.799999999999997</v>
      </c>
      <c r="EI54" s="1092"/>
      <c r="EJ54" s="1091">
        <v>36.799999999999997</v>
      </c>
      <c r="EK54" s="1092"/>
      <c r="EL54" s="1091">
        <v>38.1</v>
      </c>
      <c r="EM54" s="1092"/>
      <c r="EN54" s="1091">
        <v>39.700000000000003</v>
      </c>
      <c r="EO54" s="1092"/>
      <c r="EP54" s="1091">
        <v>42</v>
      </c>
      <c r="EQ54" s="1092"/>
      <c r="ER54" s="1091">
        <v>44.2</v>
      </c>
      <c r="ES54" s="1092"/>
      <c r="ET54" s="1091">
        <v>45</v>
      </c>
      <c r="EU54" s="1092"/>
      <c r="EV54" s="1091">
        <v>45</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54.4</v>
      </c>
      <c r="FS54" s="1095"/>
      <c r="FT54" s="1092"/>
      <c r="FU54" s="1096">
        <v>55.4</v>
      </c>
      <c r="FV54" s="1095"/>
      <c r="FW54" s="1091">
        <f>IF(面積=0,0,ROUND(FW53/面積,1))</f>
        <v>50.4</v>
      </c>
      <c r="FX54" s="1095"/>
      <c r="FY54" s="1091">
        <f>IF(面積=0,0,ROUND(FY53/面積,1))</f>
        <v>54.2</v>
      </c>
      <c r="FZ54" s="1095"/>
      <c r="GA54" s="1091">
        <f>IF(面積=0,0,ROUND(GA53/面積,1))</f>
        <v>45</v>
      </c>
      <c r="GB54" s="1095"/>
      <c r="GC54" s="1091">
        <f>IF(面積=0,0,ROUND(GC53/面積,1))</f>
        <v>54.2</v>
      </c>
      <c r="GD54" s="1095"/>
      <c r="GE54" s="1093">
        <f>IF(面積=0,0,ROUND(GE53/面積,1))</f>
        <v>55.4</v>
      </c>
      <c r="GF54" s="671"/>
      <c r="GG54" s="916"/>
      <c r="GH54" s="916"/>
      <c r="GI54" s="916"/>
      <c r="GJ54" s="567"/>
      <c r="GK54" s="566"/>
      <c r="GL54" s="1079">
        <v>11</v>
      </c>
      <c r="GM54" s="1080">
        <v>2</v>
      </c>
      <c r="GN54" s="1081">
        <v>0.85</v>
      </c>
      <c r="GO54" s="1082">
        <v>4.5</v>
      </c>
      <c r="GP54" s="1082">
        <v>0</v>
      </c>
      <c r="GQ54" s="1083">
        <v>4.5</v>
      </c>
      <c r="GR54" s="517"/>
      <c r="GS54" s="567"/>
      <c r="GT54" s="840"/>
      <c r="GU54" s="1097" t="s">
        <v>486</v>
      </c>
      <c r="GV54" s="1097"/>
      <c r="GW54" s="1097"/>
      <c r="GX54" s="1097"/>
      <c r="GY54" s="758"/>
      <c r="GZ54" s="1098"/>
      <c r="HA54" s="1099">
        <v>17.5</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4.0999999999999996</v>
      </c>
      <c r="GP55" s="1082">
        <v>0</v>
      </c>
      <c r="GQ55" s="1083">
        <v>4.0999999999999996</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508</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3.8</v>
      </c>
      <c r="GP56" s="1082">
        <v>0</v>
      </c>
      <c r="GQ56" s="1083">
        <v>3.8</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3.5</v>
      </c>
      <c r="GP57" s="1082">
        <v>0</v>
      </c>
      <c r="GQ57" s="1083">
        <v>3.5</v>
      </c>
      <c r="GR57" s="932"/>
      <c r="GS57" s="516"/>
      <c r="GT57" s="1243"/>
      <c r="GU57" s="565"/>
      <c r="GV57" s="565"/>
      <c r="GW57" s="487"/>
      <c r="GX57" s="1246"/>
      <c r="GY57" s="566"/>
      <c r="GZ57" s="487"/>
      <c r="HA57" s="565"/>
      <c r="HB57" s="487"/>
      <c r="HC57" s="1031"/>
    </row>
    <row r="58" spans="1:212" ht="20.100000000000001" customHeight="1">
      <c r="A58" s="1141" t="s">
        <v>771</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90</v>
      </c>
      <c r="Y58" s="1147"/>
      <c r="Z58" s="1146">
        <v>90</v>
      </c>
      <c r="AA58" s="1147"/>
      <c r="AB58" s="1146">
        <v>90</v>
      </c>
      <c r="AC58" s="1147"/>
      <c r="AD58" s="1146">
        <v>90</v>
      </c>
      <c r="AE58" s="1147"/>
      <c r="AF58" s="1146">
        <v>90</v>
      </c>
      <c r="AG58" s="1147"/>
      <c r="AH58" s="1146">
        <v>90</v>
      </c>
      <c r="AI58" s="1147"/>
      <c r="AJ58" s="1146">
        <v>90</v>
      </c>
      <c r="AK58" s="1147"/>
      <c r="AL58" s="1146">
        <v>90</v>
      </c>
      <c r="AM58" s="1147"/>
      <c r="AN58" s="1146">
        <v>90</v>
      </c>
      <c r="AO58" s="1147"/>
      <c r="AP58" s="1146">
        <v>90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90</v>
      </c>
      <c r="CB58" s="1147"/>
      <c r="CC58" s="1146">
        <v>90</v>
      </c>
      <c r="CD58" s="1147"/>
      <c r="CE58" s="1146">
        <v>90</v>
      </c>
      <c r="CF58" s="1147"/>
      <c r="CG58" s="1146">
        <v>90</v>
      </c>
      <c r="CH58" s="1147"/>
      <c r="CI58" s="1146">
        <v>90</v>
      </c>
      <c r="CJ58" s="1147"/>
      <c r="CK58" s="1146">
        <v>90</v>
      </c>
      <c r="CL58" s="1147"/>
      <c r="CM58" s="1146">
        <v>90</v>
      </c>
      <c r="CN58" s="1147"/>
      <c r="CO58" s="1146">
        <v>90</v>
      </c>
      <c r="CP58" s="1147"/>
      <c r="CQ58" s="1146">
        <v>90</v>
      </c>
      <c r="CR58" s="1147"/>
      <c r="CS58" s="1146">
        <v>90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90</v>
      </c>
      <c r="EE58" s="1147"/>
      <c r="EF58" s="1146">
        <v>90</v>
      </c>
      <c r="EG58" s="1147"/>
      <c r="EH58" s="1146">
        <v>90</v>
      </c>
      <c r="EI58" s="1147"/>
      <c r="EJ58" s="1146">
        <v>90</v>
      </c>
      <c r="EK58" s="1147"/>
      <c r="EL58" s="1146">
        <v>90</v>
      </c>
      <c r="EM58" s="1147"/>
      <c r="EN58" s="1146">
        <v>90</v>
      </c>
      <c r="EO58" s="1147"/>
      <c r="EP58" s="1146">
        <v>90</v>
      </c>
      <c r="EQ58" s="1147"/>
      <c r="ER58" s="1146">
        <v>90</v>
      </c>
      <c r="ES58" s="1147"/>
      <c r="ET58" s="1146">
        <v>90</v>
      </c>
      <c r="EU58" s="1147"/>
      <c r="EV58" s="1146">
        <v>90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90</v>
      </c>
      <c r="FS58" s="1150"/>
      <c r="FT58" s="1149"/>
      <c r="FU58" s="1151">
        <v>90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3.2</v>
      </c>
      <c r="GP58" s="1082">
        <v>0</v>
      </c>
      <c r="GQ58" s="1083">
        <v>3.2</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t="s">
        <v>773</v>
      </c>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22.8</v>
      </c>
      <c r="X59" s="574">
        <v>684</v>
      </c>
      <c r="Y59" s="1163">
        <v>23.7</v>
      </c>
      <c r="Z59" s="574">
        <v>711</v>
      </c>
      <c r="AA59" s="1163">
        <v>24</v>
      </c>
      <c r="AB59" s="574">
        <v>720</v>
      </c>
      <c r="AC59" s="1163">
        <v>25.3</v>
      </c>
      <c r="AD59" s="574">
        <v>759</v>
      </c>
      <c r="AE59" s="1163">
        <v>24.9</v>
      </c>
      <c r="AF59" s="574">
        <v>747</v>
      </c>
      <c r="AG59" s="1163">
        <v>24.2</v>
      </c>
      <c r="AH59" s="574">
        <v>726</v>
      </c>
      <c r="AI59" s="1163">
        <v>24.2</v>
      </c>
      <c r="AJ59" s="574">
        <v>726</v>
      </c>
      <c r="AK59" s="1163">
        <v>23.9</v>
      </c>
      <c r="AL59" s="574">
        <v>717</v>
      </c>
      <c r="AM59" s="1163">
        <v>23.2</v>
      </c>
      <c r="AN59" s="574">
        <v>696</v>
      </c>
      <c r="AO59" s="1163">
        <v>22.5</v>
      </c>
      <c r="AP59" s="574">
        <v>675</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t="s">
        <v>773</v>
      </c>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17.7</v>
      </c>
      <c r="CA59" s="574">
        <v>531</v>
      </c>
      <c r="CB59" s="1163">
        <v>18.5</v>
      </c>
      <c r="CC59" s="574">
        <v>555</v>
      </c>
      <c r="CD59" s="1163">
        <v>19.399999999999999</v>
      </c>
      <c r="CE59" s="574">
        <v>582</v>
      </c>
      <c r="CF59" s="1163">
        <v>20.100000000000001</v>
      </c>
      <c r="CG59" s="574">
        <v>603</v>
      </c>
      <c r="CH59" s="1163">
        <v>20.5</v>
      </c>
      <c r="CI59" s="574">
        <v>615</v>
      </c>
      <c r="CJ59" s="1163">
        <v>19.8</v>
      </c>
      <c r="CK59" s="574">
        <v>594</v>
      </c>
      <c r="CL59" s="1163">
        <v>19.600000000000001</v>
      </c>
      <c r="CM59" s="574">
        <v>588</v>
      </c>
      <c r="CN59" s="1163">
        <v>19.399999999999999</v>
      </c>
      <c r="CO59" s="574">
        <v>582</v>
      </c>
      <c r="CP59" s="1163">
        <v>19.399999999999999</v>
      </c>
      <c r="CQ59" s="574">
        <v>582</v>
      </c>
      <c r="CR59" s="1163">
        <v>18.7</v>
      </c>
      <c r="CS59" s="574">
        <v>561</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t="s">
        <v>773</v>
      </c>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8.9</v>
      </c>
      <c r="ED59" s="574">
        <v>267</v>
      </c>
      <c r="EE59" s="1163">
        <v>10</v>
      </c>
      <c r="EF59" s="574">
        <v>300</v>
      </c>
      <c r="EG59" s="1163">
        <v>10.1</v>
      </c>
      <c r="EH59" s="574">
        <v>303</v>
      </c>
      <c r="EI59" s="1163">
        <v>10.5</v>
      </c>
      <c r="EJ59" s="574">
        <v>315</v>
      </c>
      <c r="EK59" s="1163">
        <v>10.199999999999999</v>
      </c>
      <c r="EL59" s="574">
        <v>306</v>
      </c>
      <c r="EM59" s="1163">
        <v>9.6999999999999993</v>
      </c>
      <c r="EN59" s="574">
        <v>291</v>
      </c>
      <c r="EO59" s="1163">
        <v>9.5</v>
      </c>
      <c r="EP59" s="574">
        <v>285</v>
      </c>
      <c r="EQ59" s="1163">
        <v>9.6</v>
      </c>
      <c r="ER59" s="574">
        <v>288</v>
      </c>
      <c r="ES59" s="1163">
        <v>9.1</v>
      </c>
      <c r="ET59" s="574">
        <v>273</v>
      </c>
      <c r="EU59" s="1163">
        <v>9.6</v>
      </c>
      <c r="EV59" s="574">
        <v>288</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t="s">
        <v>773</v>
      </c>
      <c r="FN59" s="1161"/>
      <c r="FO59" s="1000"/>
      <c r="FP59" s="612">
        <v>9</v>
      </c>
      <c r="FQ59" s="1164">
        <v>22.1</v>
      </c>
      <c r="FR59" s="1165">
        <v>663</v>
      </c>
      <c r="FS59" s="1166">
        <v>9</v>
      </c>
      <c r="FT59" s="1164">
        <v>18.399999999999999</v>
      </c>
      <c r="FU59" s="1167">
        <v>552</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3</v>
      </c>
      <c r="GP59" s="1082">
        <v>0</v>
      </c>
      <c r="GQ59" s="1083">
        <v>3</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2.7</v>
      </c>
      <c r="GP60" s="1082">
        <v>0</v>
      </c>
      <c r="GQ60" s="1083">
        <v>2.7</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1604</v>
      </c>
      <c r="Y61" s="1184"/>
      <c r="Z61" s="1185">
        <v>1600</v>
      </c>
      <c r="AA61" s="1184"/>
      <c r="AB61" s="1185">
        <v>1640</v>
      </c>
      <c r="AC61" s="1184"/>
      <c r="AD61" s="1185">
        <v>1706</v>
      </c>
      <c r="AE61" s="1184"/>
      <c r="AF61" s="1185">
        <v>1723</v>
      </c>
      <c r="AG61" s="1184"/>
      <c r="AH61" s="1185">
        <v>1729</v>
      </c>
      <c r="AI61" s="1184"/>
      <c r="AJ61" s="1185">
        <v>1748</v>
      </c>
      <c r="AK61" s="1184"/>
      <c r="AL61" s="1185">
        <v>1757</v>
      </c>
      <c r="AM61" s="1184"/>
      <c r="AN61" s="1185">
        <v>1754</v>
      </c>
      <c r="AO61" s="1184"/>
      <c r="AP61" s="1185">
        <v>1701</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1415</v>
      </c>
      <c r="CB61" s="1184"/>
      <c r="CC61" s="1185">
        <v>1394</v>
      </c>
      <c r="CD61" s="1184"/>
      <c r="CE61" s="1185">
        <v>1447</v>
      </c>
      <c r="CF61" s="1184"/>
      <c r="CG61" s="1185">
        <v>1486</v>
      </c>
      <c r="CH61" s="1184"/>
      <c r="CI61" s="1185">
        <v>1527</v>
      </c>
      <c r="CJ61" s="1184"/>
      <c r="CK61" s="1185">
        <v>1538</v>
      </c>
      <c r="CL61" s="1184"/>
      <c r="CM61" s="1185">
        <v>1568</v>
      </c>
      <c r="CN61" s="1184"/>
      <c r="CO61" s="1185">
        <v>1602</v>
      </c>
      <c r="CP61" s="1184"/>
      <c r="CQ61" s="1185">
        <v>1696</v>
      </c>
      <c r="CR61" s="1184"/>
      <c r="CS61" s="1185">
        <v>1699</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1065</v>
      </c>
      <c r="EE61" s="1184"/>
      <c r="EF61" s="1185">
        <v>1045</v>
      </c>
      <c r="EG61" s="1184"/>
      <c r="EH61" s="1185">
        <v>1054</v>
      </c>
      <c r="EI61" s="1184"/>
      <c r="EJ61" s="1185">
        <v>1087</v>
      </c>
      <c r="EK61" s="1184"/>
      <c r="EL61" s="1185">
        <v>1107</v>
      </c>
      <c r="EM61" s="1184"/>
      <c r="EN61" s="1185">
        <v>1125</v>
      </c>
      <c r="EO61" s="1184"/>
      <c r="EP61" s="1185">
        <v>1166</v>
      </c>
      <c r="EQ61" s="1184"/>
      <c r="ER61" s="1185">
        <v>1216</v>
      </c>
      <c r="ES61" s="1184"/>
      <c r="ET61" s="1185">
        <v>1218</v>
      </c>
      <c r="EU61" s="1184"/>
      <c r="EV61" s="1185">
        <v>1233</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1805</v>
      </c>
      <c r="FS61" s="1190"/>
      <c r="FT61" s="1188"/>
      <c r="FU61" s="1191">
        <v>1716</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2.5</v>
      </c>
      <c r="GP61" s="1082">
        <v>0</v>
      </c>
      <c r="GQ61" s="1083">
        <v>2.5</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t="s">
        <v>777</v>
      </c>
      <c r="FN66" s="1221"/>
      <c r="FO66" s="1181"/>
      <c r="FP66" s="1187">
        <v>9</v>
      </c>
      <c r="FQ66" s="1222">
        <v>4.0999999999999996</v>
      </c>
      <c r="FR66" s="1223">
        <v>0.4</v>
      </c>
      <c r="FS66" s="1190">
        <v>9</v>
      </c>
      <c r="FT66" s="1222">
        <v>2.4</v>
      </c>
      <c r="FU66" s="1224">
        <v>0.3</v>
      </c>
      <c r="FV66" s="1225"/>
      <c r="FW66" s="1226"/>
      <c r="FX66" s="1226"/>
      <c r="FY66" s="1226"/>
      <c r="FZ66" s="1226"/>
      <c r="GA66" s="1226"/>
      <c r="GB66" s="1226"/>
      <c r="GC66" s="1227"/>
      <c r="GD66" s="1190"/>
      <c r="GE66" s="1228">
        <v>0.4</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t="s">
        <v>327</v>
      </c>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t="str">
        <f>$G68</f>
        <v>(C)室内全熱負荷以降の外気負荷等は、熱源容量計算用の基準別、時刻別の値です。外気負荷を含めた空調機の容量の計算等は別紙「ACU-2系統 空調機容量の計算」をご参照ください。</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t="str">
        <f>$G68</f>
        <v>(C)室内全熱負荷以降の外気負荷等は、熱源容量計算用の基準別、時刻別の値です。外気負荷を含めた空調機の容量の計算等は別紙「ACU-2系統 空調機容量の計算」をご参照ください。</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MO89"/>
  <sheetViews>
    <sheetView showGridLines="0" zoomScale="80" zoomScaleNormal="80" workbookViewId="0">
      <pane ySplit="8" topLeftCell="A42" activePane="bottomLeft" state="frozenSplit"/>
      <selection sqref="A1:E1"/>
      <selection pane="bottomLeft" sqref="A1:E1"/>
    </sheetView>
  </sheetViews>
  <sheetFormatPr defaultColWidth="7.42578125" defaultRowHeight="20.100000000000001" customHeight="1"/>
  <cols>
    <col min="1" max="1" width="5" style="383" customWidth="1"/>
    <col min="2" max="6" width="9.5703125" style="383" customWidth="1"/>
    <col min="7" max="7" width="4.7109375" style="383" customWidth="1"/>
    <col min="8" max="8" width="7.7109375" style="383" customWidth="1"/>
    <col min="9" max="9" width="4.7109375" style="383" customWidth="1"/>
    <col min="10" max="10" width="7.7109375" style="383" customWidth="1"/>
    <col min="11" max="11" width="4.7109375" style="383" customWidth="1"/>
    <col min="12" max="12" width="7.7109375" style="383" customWidth="1"/>
    <col min="13" max="13" width="4.7109375" style="383" customWidth="1"/>
    <col min="14" max="14" width="7.7109375" style="383" customWidth="1"/>
    <col min="15" max="15" width="4.7109375" style="383" customWidth="1"/>
    <col min="16" max="16" width="7.7109375" style="383" customWidth="1"/>
    <col min="17" max="17" width="4.7109375" style="383" customWidth="1"/>
    <col min="18" max="18" width="7.7109375" style="383" customWidth="1"/>
    <col min="19" max="19" width="4.7109375" style="383" customWidth="1"/>
    <col min="20" max="20" width="7.7109375" style="383" customWidth="1"/>
    <col min="21" max="21" width="4.7109375" style="383" customWidth="1"/>
    <col min="22" max="22" width="7.7109375" style="383" customWidth="1"/>
    <col min="23" max="23" width="4.7109375" style="383" customWidth="1"/>
    <col min="24" max="24" width="7.7109375" style="383" customWidth="1"/>
    <col min="25" max="25" width="4.7109375" style="383" customWidth="1"/>
    <col min="26" max="26" width="7.7109375" style="383" customWidth="1"/>
    <col min="27" max="27" width="4.7109375" style="383" customWidth="1"/>
    <col min="28" max="28" width="7.7109375" style="383" customWidth="1"/>
    <col min="29" max="29" width="4.7109375" style="383" customWidth="1"/>
    <col min="30" max="30" width="7.7109375" style="383" customWidth="1"/>
    <col min="31" max="31" width="4.7109375" style="383" customWidth="1"/>
    <col min="32" max="32" width="7.7109375" style="383" customWidth="1"/>
    <col min="33" max="33" width="4.7109375" style="383" customWidth="1"/>
    <col min="34" max="34" width="7.7109375" style="383" customWidth="1"/>
    <col min="35" max="35" width="4.7109375" style="383" customWidth="1"/>
    <col min="36" max="36" width="7.7109375" style="383" customWidth="1"/>
    <col min="37" max="37" width="4.7109375" style="383" customWidth="1"/>
    <col min="38" max="38" width="7.7109375" style="383" customWidth="1"/>
    <col min="39" max="39" width="4.7109375" style="383" customWidth="1"/>
    <col min="40" max="40" width="7.7109375" style="383" customWidth="1"/>
    <col min="41" max="41" width="4.7109375" style="383" customWidth="1"/>
    <col min="42" max="42" width="7.7109375" style="383" customWidth="1"/>
    <col min="43" max="43" width="4.7109375" style="383" customWidth="1"/>
    <col min="44" max="44" width="7.7109375" style="383" customWidth="1"/>
    <col min="45" max="45" width="4.7109375" style="383" customWidth="1"/>
    <col min="46" max="46" width="7.7109375" style="383" customWidth="1"/>
    <col min="47" max="47" width="4.7109375" style="383" customWidth="1"/>
    <col min="48" max="48" width="7.7109375" style="383" customWidth="1"/>
    <col min="49" max="49" width="4.7109375" style="383" customWidth="1"/>
    <col min="50" max="50" width="7.7109375" style="383" customWidth="1"/>
    <col min="51" max="51" width="4.7109375" style="383" customWidth="1"/>
    <col min="52" max="52" width="7.7109375" style="383" customWidth="1"/>
    <col min="53" max="53" width="4.7109375" style="383" customWidth="1"/>
    <col min="54" max="54" width="7.7109375" style="383" customWidth="1"/>
    <col min="55" max="55" width="4.28515625" style="1193" customWidth="1"/>
    <col min="56" max="56" width="5" style="383" customWidth="1"/>
    <col min="57" max="61" width="9.5703125" style="383" customWidth="1"/>
    <col min="62" max="62" width="4.7109375" style="383" customWidth="1"/>
    <col min="63" max="63" width="7.7109375" style="383" customWidth="1"/>
    <col min="64" max="64" width="4.7109375" style="383" customWidth="1"/>
    <col min="65" max="65" width="7.7109375" style="383" customWidth="1"/>
    <col min="66" max="66" width="4.7109375" style="383" customWidth="1"/>
    <col min="67" max="67" width="7.7109375" style="383" customWidth="1"/>
    <col min="68" max="68" width="4.7109375" style="383" customWidth="1"/>
    <col min="69" max="69" width="7.7109375" style="383" customWidth="1"/>
    <col min="70" max="70" width="4.7109375" style="383" customWidth="1"/>
    <col min="71" max="71" width="7.7109375" style="383" customWidth="1"/>
    <col min="72" max="72" width="4.7109375" style="383" customWidth="1"/>
    <col min="73" max="73" width="7.7109375" style="383" customWidth="1"/>
    <col min="74" max="74" width="4.7109375" style="383" customWidth="1"/>
    <col min="75" max="75" width="7.7109375" style="383" customWidth="1"/>
    <col min="76" max="76" width="4.7109375" style="383" customWidth="1"/>
    <col min="77" max="77" width="7.7109375" style="383" customWidth="1"/>
    <col min="78" max="78" width="4.7109375" style="383" customWidth="1"/>
    <col min="79" max="79" width="7.7109375" style="383" customWidth="1"/>
    <col min="80" max="80" width="4.7109375" style="383" customWidth="1"/>
    <col min="81" max="81" width="7.7109375" style="383" customWidth="1"/>
    <col min="82" max="82" width="4.7109375" style="383" customWidth="1"/>
    <col min="83" max="83" width="7.7109375" style="383" customWidth="1"/>
    <col min="84" max="84" width="4.7109375" style="383" customWidth="1"/>
    <col min="85" max="85" width="7.7109375" style="383" customWidth="1"/>
    <col min="86" max="86" width="4.7109375" style="383" customWidth="1"/>
    <col min="87" max="87" width="7.7109375" style="383" customWidth="1"/>
    <col min="88" max="88" width="4.7109375" style="383" customWidth="1"/>
    <col min="89" max="89" width="7.7109375" style="383" customWidth="1"/>
    <col min="90" max="90" width="4.7109375" style="383" customWidth="1"/>
    <col min="91" max="91" width="7.7109375" style="383" customWidth="1"/>
    <col min="92" max="92" width="4.7109375" style="383" customWidth="1"/>
    <col min="93" max="93" width="7.7109375" style="383" customWidth="1"/>
    <col min="94" max="94" width="4.7109375" style="383" customWidth="1"/>
    <col min="95" max="95" width="7.7109375" style="383" customWidth="1"/>
    <col min="96" max="96" width="4.7109375" style="383" customWidth="1"/>
    <col min="97" max="97" width="7.7109375" style="383" customWidth="1"/>
    <col min="98" max="98" width="4.7109375" style="383" customWidth="1"/>
    <col min="99" max="99" width="7.7109375" style="383" customWidth="1"/>
    <col min="100" max="100" width="4.7109375" style="383" customWidth="1"/>
    <col min="101" max="101" width="7.7109375" style="383" customWidth="1"/>
    <col min="102" max="102" width="4.7109375" style="383" customWidth="1"/>
    <col min="103" max="103" width="7.7109375" style="383" customWidth="1"/>
    <col min="104" max="104" width="4.7109375" style="383" customWidth="1"/>
    <col min="105" max="105" width="7.7109375" style="383" customWidth="1"/>
    <col min="106" max="106" width="4.7109375" style="383" customWidth="1"/>
    <col min="107" max="107" width="7.7109375" style="383" customWidth="1"/>
    <col min="108" max="108" width="4.7109375" style="383" customWidth="1"/>
    <col min="109" max="109" width="7.7109375" style="383" customWidth="1"/>
    <col min="110" max="110" width="4.7109375" style="1193" customWidth="1"/>
    <col min="111" max="111" width="5" style="383" customWidth="1"/>
    <col min="112" max="116" width="9.5703125" style="383" customWidth="1"/>
    <col min="117" max="117" width="4.7109375" style="383" customWidth="1"/>
    <col min="118" max="118" width="7.7109375" style="383" customWidth="1"/>
    <col min="119" max="119" width="4.7109375" style="383" customWidth="1"/>
    <col min="120" max="120" width="7.7109375" style="383" customWidth="1"/>
    <col min="121" max="121" width="4.7109375" style="383" customWidth="1"/>
    <col min="122" max="122" width="7.7109375" style="383" customWidth="1"/>
    <col min="123" max="123" width="4.7109375" style="383" customWidth="1"/>
    <col min="124" max="124" width="7.7109375" style="383" customWidth="1"/>
    <col min="125" max="125" width="4.7109375" style="383" customWidth="1"/>
    <col min="126" max="126" width="7.7109375" style="383" customWidth="1"/>
    <col min="127" max="127" width="4.7109375" style="383" customWidth="1"/>
    <col min="128" max="128" width="7.7109375" style="383" customWidth="1"/>
    <col min="129" max="129" width="4.7109375" style="383" customWidth="1"/>
    <col min="130" max="130" width="7.7109375" style="383" customWidth="1"/>
    <col min="131" max="131" width="4.7109375" style="383" customWidth="1"/>
    <col min="132" max="132" width="7.7109375" style="383" customWidth="1"/>
    <col min="133" max="133" width="4.7109375" style="383" customWidth="1"/>
    <col min="134" max="134" width="7.7109375" style="383" customWidth="1"/>
    <col min="135" max="135" width="4.7109375" style="383" customWidth="1"/>
    <col min="136" max="136" width="7.7109375" style="383" customWidth="1"/>
    <col min="137" max="137" width="4.7109375" style="383" customWidth="1"/>
    <col min="138" max="138" width="7.7109375" style="383" customWidth="1"/>
    <col min="139" max="139" width="4.7109375" style="383" customWidth="1"/>
    <col min="140" max="140" width="7.7109375" style="383" customWidth="1"/>
    <col min="141" max="141" width="4.7109375" style="383" customWidth="1"/>
    <col min="142" max="142" width="7.7109375" style="383" customWidth="1"/>
    <col min="143" max="143" width="4.7109375" style="383" customWidth="1"/>
    <col min="144" max="144" width="7.7109375" style="383" customWidth="1"/>
    <col min="145" max="145" width="4.7109375" style="383" customWidth="1"/>
    <col min="146" max="146" width="7.7109375" style="383" customWidth="1"/>
    <col min="147" max="147" width="4.7109375" style="383" customWidth="1"/>
    <col min="148" max="148" width="7.7109375" style="383" customWidth="1"/>
    <col min="149" max="149" width="4.7109375" style="383" customWidth="1"/>
    <col min="150" max="150" width="7.7109375" style="383" customWidth="1"/>
    <col min="151" max="151" width="4.7109375" style="383" customWidth="1"/>
    <col min="152" max="152" width="7.7109375" style="383" customWidth="1"/>
    <col min="153" max="153" width="4.7109375" style="383" customWidth="1"/>
    <col min="154" max="154" width="7.7109375" style="383" customWidth="1"/>
    <col min="155" max="155" width="4.7109375" style="383" customWidth="1"/>
    <col min="156" max="156" width="7.7109375" style="383" customWidth="1"/>
    <col min="157" max="157" width="4.7109375" style="383" customWidth="1"/>
    <col min="158" max="158" width="7.7109375" style="383" customWidth="1"/>
    <col min="159" max="159" width="4.7109375" style="383" customWidth="1"/>
    <col min="160" max="160" width="7.7109375" style="383" customWidth="1"/>
    <col min="161" max="161" width="4.7109375" style="383" customWidth="1"/>
    <col min="162" max="162" width="7.7109375" style="383" customWidth="1"/>
    <col min="163" max="163" width="4.7109375" style="383" customWidth="1"/>
    <col min="164" max="164" width="7.7109375" style="383" customWidth="1"/>
    <col min="165" max="165" width="4.7109375" style="1193" customWidth="1"/>
    <col min="166" max="166" width="5" style="383" customWidth="1"/>
    <col min="167" max="171" width="9.5703125" style="383" customWidth="1"/>
    <col min="172" max="173" width="4.7109375" style="383" customWidth="1"/>
    <col min="174" max="174" width="7.7109375" style="383" customWidth="1"/>
    <col min="175" max="176" width="4.7109375" style="383" customWidth="1"/>
    <col min="177" max="177" width="7.7109375" style="383" customWidth="1"/>
    <col min="178" max="178" width="4.7109375" style="383" customWidth="1"/>
    <col min="179" max="179" width="7.7109375" style="383" customWidth="1"/>
    <col min="180" max="180" width="4.7109375" style="383" customWidth="1"/>
    <col min="181" max="181" width="7.7109375" style="383" customWidth="1"/>
    <col min="182" max="182" width="4.7109375" style="383" customWidth="1"/>
    <col min="183" max="183" width="7.7109375" style="383" customWidth="1"/>
    <col min="184" max="184" width="4.7109375" style="383" customWidth="1"/>
    <col min="185" max="185" width="7.7109375" style="383" customWidth="1"/>
    <col min="186" max="186" width="4.7109375" style="383" customWidth="1"/>
    <col min="187" max="187" width="7.7109375" style="383" customWidth="1"/>
    <col min="188" max="188" width="4.7109375" style="383" customWidth="1"/>
    <col min="189" max="191" width="7.7109375" style="1229" customWidth="1"/>
    <col min="192" max="192" width="4.7109375" style="1229" customWidth="1"/>
    <col min="193" max="193" width="6.7109375" style="1229" customWidth="1"/>
    <col min="194" max="199" width="8.7109375" style="1229" customWidth="1"/>
    <col min="200" max="200" width="12.5703125" style="1229" customWidth="1"/>
    <col min="201" max="201" width="7.140625" style="1229" customWidth="1"/>
    <col min="202" max="202" width="4.7109375" style="1229" customWidth="1"/>
    <col min="203" max="203" width="6.7109375" style="1229" customWidth="1"/>
    <col min="204" max="210" width="8.7109375" style="1229" customWidth="1"/>
    <col min="211" max="211" width="4.28515625" style="1193" customWidth="1"/>
    <col min="212" max="212" width="7.42578125" style="383" customWidth="1"/>
    <col min="213" max="213" width="24.5703125" style="383" customWidth="1"/>
    <col min="214" max="214" width="8.85546875" style="383" customWidth="1"/>
    <col min="215" max="16384" width="7.42578125" style="383"/>
  </cols>
  <sheetData>
    <row r="1" spans="1:353" s="376" customFormat="1" ht="42" customHeight="1">
      <c r="A1" s="365" t="s">
        <v>243</v>
      </c>
      <c r="B1" s="366"/>
      <c r="C1" s="366"/>
      <c r="D1" s="366"/>
      <c r="E1" s="366"/>
      <c r="F1" s="366"/>
      <c r="G1" s="366"/>
      <c r="H1" s="367"/>
      <c r="I1" s="367"/>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8" t="s">
        <v>245</v>
      </c>
      <c r="AY1" s="366" t="s">
        <v>704</v>
      </c>
      <c r="AZ1" s="366"/>
      <c r="BA1" s="366"/>
      <c r="BB1" s="369"/>
      <c r="BC1" s="370"/>
      <c r="BD1" s="365" t="s">
        <v>243</v>
      </c>
      <c r="BE1" s="366"/>
      <c r="BF1" s="366"/>
      <c r="BG1" s="366"/>
      <c r="BH1" s="366"/>
      <c r="BI1" s="366"/>
      <c r="BJ1" s="366"/>
      <c r="BK1" s="367"/>
      <c r="BL1" s="367"/>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8" t="s">
        <v>245</v>
      </c>
      <c r="DB1" s="366" t="str">
        <f>$AY1</f>
        <v>9時-18時</v>
      </c>
      <c r="DC1" s="368"/>
      <c r="DD1" s="366"/>
      <c r="DE1" s="369"/>
      <c r="DF1" s="370"/>
      <c r="DG1" s="365" t="s">
        <v>243</v>
      </c>
      <c r="DH1" s="366"/>
      <c r="DI1" s="366"/>
      <c r="DJ1" s="366"/>
      <c r="DK1" s="366"/>
      <c r="DL1" s="366"/>
      <c r="DM1" s="366"/>
      <c r="DN1" s="367"/>
      <c r="DO1" s="367"/>
      <c r="DP1" s="366"/>
      <c r="DQ1" s="366"/>
      <c r="DR1" s="366"/>
      <c r="DS1" s="366"/>
      <c r="DT1" s="366"/>
      <c r="DU1" s="366"/>
      <c r="DV1" s="366"/>
      <c r="DW1" s="366"/>
      <c r="DX1" s="366"/>
      <c r="DY1" s="366"/>
      <c r="DZ1" s="366"/>
      <c r="EA1" s="366"/>
      <c r="EB1" s="366"/>
      <c r="EC1" s="366"/>
      <c r="ED1" s="366"/>
      <c r="EE1" s="366"/>
      <c r="EF1" s="366"/>
      <c r="EG1" s="366"/>
      <c r="EH1" s="366"/>
      <c r="EI1" s="366"/>
      <c r="EJ1" s="366"/>
      <c r="EK1" s="366"/>
      <c r="EL1" s="366"/>
      <c r="EM1" s="366"/>
      <c r="EN1" s="366"/>
      <c r="EO1" s="366"/>
      <c r="EP1" s="366"/>
      <c r="EQ1" s="366"/>
      <c r="ER1" s="366"/>
      <c r="ES1" s="366"/>
      <c r="ET1" s="366"/>
      <c r="EU1" s="366"/>
      <c r="EV1" s="366"/>
      <c r="EW1" s="366"/>
      <c r="EX1" s="366"/>
      <c r="EY1" s="366"/>
      <c r="EZ1" s="366"/>
      <c r="FA1" s="366"/>
      <c r="FB1" s="366"/>
      <c r="FC1" s="366"/>
      <c r="FD1" s="368" t="s">
        <v>245</v>
      </c>
      <c r="FE1" s="366" t="str">
        <f>$AY1</f>
        <v>9時-18時</v>
      </c>
      <c r="FF1" s="368"/>
      <c r="FG1" s="366"/>
      <c r="FH1" s="369"/>
      <c r="FI1" s="371"/>
      <c r="FJ1" s="365" t="s">
        <v>243</v>
      </c>
      <c r="FK1" s="366"/>
      <c r="FL1" s="366"/>
      <c r="FM1" s="366"/>
      <c r="FN1" s="366"/>
      <c r="FO1" s="366"/>
      <c r="FP1" s="366"/>
      <c r="FQ1" s="367"/>
      <c r="FR1" s="367"/>
      <c r="FS1" s="366"/>
      <c r="FT1" s="366"/>
      <c r="FU1" s="366"/>
      <c r="FV1" s="366"/>
      <c r="FW1" s="366"/>
      <c r="FX1" s="366"/>
      <c r="FY1" s="366"/>
      <c r="FZ1" s="366"/>
      <c r="GA1" s="366"/>
      <c r="GB1" s="366"/>
      <c r="GC1" s="366"/>
      <c r="GD1" s="366"/>
      <c r="GE1" s="366"/>
      <c r="GF1" s="366"/>
      <c r="GG1" s="366"/>
      <c r="GH1" s="366"/>
      <c r="GI1" s="366"/>
      <c r="GJ1" s="366"/>
      <c r="GK1" s="366"/>
      <c r="GL1" s="366"/>
      <c r="GM1" s="366"/>
      <c r="GN1" s="366"/>
      <c r="GO1" s="366"/>
      <c r="GP1" s="366"/>
      <c r="GQ1" s="366"/>
      <c r="GR1" s="366"/>
      <c r="GS1" s="366"/>
      <c r="GT1" s="366"/>
      <c r="GU1" s="368"/>
      <c r="GV1" s="366"/>
      <c r="GW1" s="366"/>
      <c r="GX1" s="366"/>
      <c r="GY1" s="368" t="s">
        <v>410</v>
      </c>
      <c r="GZ1" s="366" t="s">
        <v>328</v>
      </c>
      <c r="HA1" s="366"/>
      <c r="HB1" s="369"/>
      <c r="HC1" s="1476" t="s">
        <v>411</v>
      </c>
      <c r="HD1" s="372"/>
      <c r="HE1" s="373"/>
      <c r="HF1" s="372"/>
      <c r="HG1" s="1474"/>
      <c r="HH1" s="374" t="s">
        <v>246</v>
      </c>
      <c r="HI1" s="375"/>
    </row>
    <row r="2" spans="1:353" ht="20.100000000000001" customHeight="1" thickBot="1">
      <c r="A2" s="377"/>
      <c r="B2" s="377"/>
      <c r="C2" s="377"/>
      <c r="D2" s="377"/>
      <c r="E2" s="377"/>
      <c r="F2" s="377"/>
      <c r="G2" s="377"/>
      <c r="H2" s="377"/>
      <c r="I2" s="377"/>
      <c r="J2" s="377"/>
      <c r="K2" s="377"/>
      <c r="L2" s="377"/>
      <c r="M2" s="377"/>
      <c r="N2" s="377"/>
      <c r="O2" s="377"/>
      <c r="P2" s="377"/>
      <c r="Q2" s="377"/>
      <c r="R2" s="377"/>
      <c r="S2" s="377"/>
      <c r="T2" s="377"/>
      <c r="U2" s="377"/>
      <c r="V2" s="377"/>
      <c r="W2" s="377"/>
      <c r="X2" s="378"/>
      <c r="Y2" s="377"/>
      <c r="Z2" s="377"/>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9"/>
      <c r="BD2" s="377"/>
      <c r="BE2" s="377"/>
      <c r="BF2" s="377"/>
      <c r="BG2" s="377"/>
      <c r="BH2" s="377"/>
      <c r="BI2" s="377"/>
      <c r="BJ2" s="377"/>
      <c r="BK2" s="377"/>
      <c r="BL2" s="377"/>
      <c r="BM2" s="377"/>
      <c r="BN2" s="377"/>
      <c r="BO2" s="377"/>
      <c r="BP2" s="377"/>
      <c r="BQ2" s="377"/>
      <c r="BR2" s="377"/>
      <c r="BS2" s="377"/>
      <c r="BT2" s="377"/>
      <c r="BU2" s="377"/>
      <c r="BV2" s="377"/>
      <c r="BW2" s="377"/>
      <c r="BX2" s="377"/>
      <c r="BY2" s="377"/>
      <c r="BZ2" s="377"/>
      <c r="CA2" s="378"/>
      <c r="CB2" s="377"/>
      <c r="CC2" s="377"/>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80"/>
      <c r="DG2" s="377"/>
      <c r="DH2" s="377"/>
      <c r="DI2" s="377"/>
      <c r="DJ2" s="377"/>
      <c r="DK2" s="377"/>
      <c r="DL2" s="377"/>
      <c r="DM2" s="377"/>
      <c r="DN2" s="377"/>
      <c r="DO2" s="377"/>
      <c r="DP2" s="377"/>
      <c r="DQ2" s="377"/>
      <c r="DR2" s="377"/>
      <c r="DS2" s="377"/>
      <c r="DT2" s="377"/>
      <c r="DU2" s="377"/>
      <c r="DV2" s="377"/>
      <c r="DW2" s="377"/>
      <c r="DX2" s="377"/>
      <c r="DY2" s="377"/>
      <c r="DZ2" s="377"/>
      <c r="EA2" s="377"/>
      <c r="EB2" s="377"/>
      <c r="EC2" s="377"/>
      <c r="ED2" s="378"/>
      <c r="EE2" s="377"/>
      <c r="EF2" s="377"/>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80"/>
      <c r="FJ2" s="377"/>
      <c r="FK2" s="377"/>
      <c r="FL2" s="377"/>
      <c r="FM2" s="377"/>
      <c r="FN2" s="377"/>
      <c r="FO2" s="377"/>
      <c r="FP2" s="377"/>
      <c r="FQ2" s="377"/>
      <c r="FR2" s="377"/>
      <c r="FS2" s="377"/>
      <c r="FT2" s="377"/>
      <c r="FU2" s="377"/>
      <c r="FV2" s="377"/>
      <c r="FW2" s="377"/>
      <c r="FX2" s="377"/>
      <c r="FY2" s="377"/>
      <c r="FZ2" s="377"/>
      <c r="GA2" s="377"/>
      <c r="GB2" s="377"/>
      <c r="GC2" s="377"/>
      <c r="GD2" s="377"/>
      <c r="GE2" s="377"/>
      <c r="GF2" s="377"/>
      <c r="GG2" s="381"/>
      <c r="GH2" s="381"/>
      <c r="GI2" s="381"/>
      <c r="GJ2" s="381"/>
      <c r="GK2" s="381"/>
      <c r="GL2" s="381"/>
      <c r="GM2" s="381"/>
      <c r="GN2" s="381"/>
      <c r="GO2" s="381"/>
      <c r="GP2" s="381"/>
      <c r="GQ2" s="381"/>
      <c r="GR2" s="381"/>
      <c r="GS2" s="381"/>
      <c r="GT2" s="382"/>
      <c r="GU2" s="382"/>
      <c r="GV2" s="381"/>
      <c r="GW2" s="381"/>
      <c r="GX2" s="381"/>
      <c r="GY2" s="381"/>
      <c r="GZ2" s="381"/>
      <c r="HA2" s="381"/>
      <c r="HB2" s="381"/>
      <c r="HC2" s="379"/>
      <c r="HD2" s="377"/>
      <c r="HE2" s="377"/>
      <c r="HF2" s="377"/>
      <c r="HG2" s="377"/>
    </row>
    <row r="3" spans="1:353" ht="20.100000000000001" customHeight="1">
      <c r="A3" s="384" t="s">
        <v>545</v>
      </c>
      <c r="B3" s="385">
        <v>211</v>
      </c>
      <c r="C3" s="386" t="s">
        <v>706</v>
      </c>
      <c r="D3" s="387" t="s">
        <v>707</v>
      </c>
      <c r="E3" s="387"/>
      <c r="F3" s="387"/>
      <c r="G3" s="387"/>
      <c r="H3" s="387"/>
      <c r="I3" s="387"/>
      <c r="J3" s="388"/>
      <c r="K3" s="389" t="s">
        <v>616</v>
      </c>
      <c r="L3" s="390"/>
      <c r="M3" s="389" t="s">
        <v>339</v>
      </c>
      <c r="N3" s="390"/>
      <c r="O3" s="391" t="s">
        <v>758</v>
      </c>
      <c r="P3" s="392"/>
      <c r="Q3" s="392"/>
      <c r="R3" s="392"/>
      <c r="S3" s="392"/>
      <c r="T3" s="392"/>
      <c r="U3" s="392"/>
      <c r="V3" s="393"/>
      <c r="W3" s="394" t="s">
        <v>340</v>
      </c>
      <c r="X3" s="395"/>
      <c r="Y3" s="396"/>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84" t="s">
        <v>341</v>
      </c>
      <c r="BE3" s="385">
        <v>211</v>
      </c>
      <c r="BF3" s="386" t="s">
        <v>335</v>
      </c>
      <c r="BG3" s="398" t="s">
        <v>703</v>
      </c>
      <c r="BH3" s="398"/>
      <c r="BI3" s="398"/>
      <c r="BJ3" s="398"/>
      <c r="BK3" s="398"/>
      <c r="BL3" s="398"/>
      <c r="BM3" s="399"/>
      <c r="BN3" s="389" t="s">
        <v>338</v>
      </c>
      <c r="BO3" s="390"/>
      <c r="BP3" s="389" t="s">
        <v>339</v>
      </c>
      <c r="BQ3" s="390"/>
      <c r="BR3" s="391" t="s">
        <v>758</v>
      </c>
      <c r="BS3" s="392"/>
      <c r="BT3" s="392"/>
      <c r="BU3" s="392"/>
      <c r="BV3" s="392"/>
      <c r="BW3" s="392"/>
      <c r="BX3" s="392"/>
      <c r="BY3" s="393"/>
      <c r="BZ3" s="394" t="s">
        <v>340</v>
      </c>
      <c r="CA3" s="395"/>
      <c r="CB3" s="396"/>
      <c r="CC3" s="397"/>
      <c r="CD3" s="397"/>
      <c r="CE3" s="397"/>
      <c r="CF3" s="397"/>
      <c r="CG3" s="397"/>
      <c r="CH3" s="397"/>
      <c r="CI3" s="397"/>
      <c r="CJ3" s="397"/>
      <c r="CK3" s="397"/>
      <c r="CL3" s="397"/>
      <c r="CM3" s="397"/>
      <c r="CN3" s="397"/>
      <c r="CO3" s="397"/>
      <c r="CP3" s="397"/>
      <c r="CQ3" s="397"/>
      <c r="CR3" s="397"/>
      <c r="CS3" s="397"/>
      <c r="CT3" s="397"/>
      <c r="CU3" s="397"/>
      <c r="CV3" s="397"/>
      <c r="CW3" s="397"/>
      <c r="CX3" s="397"/>
      <c r="CY3" s="397"/>
      <c r="CZ3" s="397"/>
      <c r="DA3" s="397"/>
      <c r="DB3" s="397"/>
      <c r="DC3" s="397"/>
      <c r="DD3" s="397"/>
      <c r="DE3" s="397"/>
      <c r="DF3" s="397"/>
      <c r="DG3" s="384" t="s">
        <v>341</v>
      </c>
      <c r="DH3" s="385">
        <v>211</v>
      </c>
      <c r="DI3" s="386" t="s">
        <v>335</v>
      </c>
      <c r="DJ3" s="398" t="s">
        <v>703</v>
      </c>
      <c r="DK3" s="398"/>
      <c r="DL3" s="398"/>
      <c r="DM3" s="398"/>
      <c r="DN3" s="398"/>
      <c r="DO3" s="398"/>
      <c r="DP3" s="399"/>
      <c r="DQ3" s="389" t="s">
        <v>338</v>
      </c>
      <c r="DR3" s="390"/>
      <c r="DS3" s="389" t="s">
        <v>339</v>
      </c>
      <c r="DT3" s="390"/>
      <c r="DU3" s="391" t="s">
        <v>758</v>
      </c>
      <c r="DV3" s="392"/>
      <c r="DW3" s="392"/>
      <c r="DX3" s="392"/>
      <c r="DY3" s="392"/>
      <c r="DZ3" s="392"/>
      <c r="EA3" s="392"/>
      <c r="EB3" s="393"/>
      <c r="EC3" s="394" t="s">
        <v>340</v>
      </c>
      <c r="ED3" s="395"/>
      <c r="EE3" s="396"/>
      <c r="EF3" s="397"/>
      <c r="EG3" s="397"/>
      <c r="EH3" s="397"/>
      <c r="EI3" s="397"/>
      <c r="EJ3" s="397"/>
      <c r="EK3" s="397"/>
      <c r="EL3" s="397"/>
      <c r="EM3" s="397"/>
      <c r="EN3" s="397"/>
      <c r="EO3" s="397"/>
      <c r="EP3" s="397"/>
      <c r="EQ3" s="397"/>
      <c r="ER3" s="397"/>
      <c r="ES3" s="397"/>
      <c r="ET3" s="397"/>
      <c r="EU3" s="397"/>
      <c r="EV3" s="397"/>
      <c r="EW3" s="397"/>
      <c r="EX3" s="397"/>
      <c r="EY3" s="397"/>
      <c r="EZ3" s="397"/>
      <c r="FA3" s="397"/>
      <c r="FB3" s="397"/>
      <c r="FC3" s="397"/>
      <c r="FD3" s="397"/>
      <c r="FE3" s="397"/>
      <c r="FF3" s="397"/>
      <c r="FG3" s="397"/>
      <c r="FH3" s="397"/>
      <c r="FI3" s="397"/>
      <c r="FJ3" s="384" t="s">
        <v>341</v>
      </c>
      <c r="FK3" s="385">
        <v>211</v>
      </c>
      <c r="FL3" s="386" t="s">
        <v>335</v>
      </c>
      <c r="FM3" s="398" t="s">
        <v>703</v>
      </c>
      <c r="FN3" s="398"/>
      <c r="FO3" s="398"/>
      <c r="FP3" s="398"/>
      <c r="FQ3" s="398"/>
      <c r="FR3" s="398"/>
      <c r="FS3" s="399"/>
      <c r="FT3" s="389" t="s">
        <v>338</v>
      </c>
      <c r="FU3" s="390"/>
      <c r="FV3" s="389" t="s">
        <v>339</v>
      </c>
      <c r="FW3" s="390"/>
      <c r="FX3" s="391" t="s">
        <v>769</v>
      </c>
      <c r="FY3" s="392"/>
      <c r="FZ3" s="392"/>
      <c r="GA3" s="392"/>
      <c r="GB3" s="392"/>
      <c r="GC3" s="392"/>
      <c r="GD3" s="392"/>
      <c r="GE3" s="393"/>
      <c r="GF3" s="394" t="s">
        <v>340</v>
      </c>
      <c r="GG3" s="395"/>
      <c r="GH3" s="396"/>
      <c r="GI3" s="400"/>
      <c r="GJ3" s="401" t="s">
        <v>412</v>
      </c>
      <c r="GK3" s="402"/>
      <c r="GL3" s="402"/>
      <c r="GM3" s="402"/>
      <c r="GN3" s="402"/>
      <c r="GO3" s="402"/>
      <c r="GP3" s="402"/>
      <c r="GQ3" s="402"/>
      <c r="GR3" s="403"/>
      <c r="GS3" s="404"/>
      <c r="GT3" s="401" t="s">
        <v>413</v>
      </c>
      <c r="GU3" s="402"/>
      <c r="GV3" s="402"/>
      <c r="GW3" s="402"/>
      <c r="GX3" s="402"/>
      <c r="GY3" s="402"/>
      <c r="GZ3" s="402"/>
      <c r="HA3" s="402"/>
      <c r="HB3" s="403"/>
      <c r="HC3" s="405"/>
      <c r="HD3" s="428"/>
      <c r="HE3" s="407"/>
      <c r="HF3" s="407"/>
      <c r="HG3" s="377"/>
    </row>
    <row r="4" spans="1:353" ht="20.100000000000001" customHeight="1">
      <c r="A4" s="408"/>
      <c r="B4" s="409"/>
      <c r="C4" s="410"/>
      <c r="D4" s="411"/>
      <c r="E4" s="411"/>
      <c r="F4" s="411"/>
      <c r="G4" s="411"/>
      <c r="H4" s="411"/>
      <c r="I4" s="411"/>
      <c r="J4" s="412"/>
      <c r="K4" s="413"/>
      <c r="L4" s="414"/>
      <c r="M4" s="413"/>
      <c r="N4" s="414"/>
      <c r="O4" s="415" t="s">
        <v>342</v>
      </c>
      <c r="P4" s="416"/>
      <c r="Q4" s="417" t="s">
        <v>343</v>
      </c>
      <c r="R4" s="416"/>
      <c r="S4" s="418" t="s">
        <v>344</v>
      </c>
      <c r="T4" s="419"/>
      <c r="U4" s="420" t="s">
        <v>345</v>
      </c>
      <c r="V4" s="421"/>
      <c r="W4" s="422" t="s">
        <v>346</v>
      </c>
      <c r="X4" s="423"/>
      <c r="Y4" s="424"/>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408"/>
      <c r="BE4" s="409"/>
      <c r="BF4" s="410"/>
      <c r="BG4" s="425"/>
      <c r="BH4" s="425"/>
      <c r="BI4" s="425"/>
      <c r="BJ4" s="425"/>
      <c r="BK4" s="425"/>
      <c r="BL4" s="425"/>
      <c r="BM4" s="426"/>
      <c r="BN4" s="413"/>
      <c r="BO4" s="414"/>
      <c r="BP4" s="413"/>
      <c r="BQ4" s="414"/>
      <c r="BR4" s="415" t="s">
        <v>342</v>
      </c>
      <c r="BS4" s="416"/>
      <c r="BT4" s="417" t="s">
        <v>343</v>
      </c>
      <c r="BU4" s="416"/>
      <c r="BV4" s="418" t="s">
        <v>344</v>
      </c>
      <c r="BW4" s="419"/>
      <c r="BX4" s="420" t="s">
        <v>345</v>
      </c>
      <c r="BY4" s="421"/>
      <c r="BZ4" s="422" t="s">
        <v>346</v>
      </c>
      <c r="CA4" s="423"/>
      <c r="CB4" s="424"/>
      <c r="CC4" s="397"/>
      <c r="CD4" s="397"/>
      <c r="CE4" s="397"/>
      <c r="CF4" s="397"/>
      <c r="CG4" s="397"/>
      <c r="CH4" s="397"/>
      <c r="CI4" s="397"/>
      <c r="CJ4" s="397"/>
      <c r="CK4" s="397"/>
      <c r="CL4" s="397"/>
      <c r="CM4" s="397"/>
      <c r="CN4" s="397"/>
      <c r="CO4" s="397"/>
      <c r="CP4" s="397"/>
      <c r="CQ4" s="397"/>
      <c r="CR4" s="397"/>
      <c r="CS4" s="397"/>
      <c r="CT4" s="397"/>
      <c r="CU4" s="397"/>
      <c r="CV4" s="397"/>
      <c r="CW4" s="397"/>
      <c r="CX4" s="397"/>
      <c r="CY4" s="397"/>
      <c r="CZ4" s="397"/>
      <c r="DA4" s="397"/>
      <c r="DB4" s="397"/>
      <c r="DC4" s="397"/>
      <c r="DD4" s="397"/>
      <c r="DE4" s="397"/>
      <c r="DF4" s="397"/>
      <c r="DG4" s="408"/>
      <c r="DH4" s="409"/>
      <c r="DI4" s="410"/>
      <c r="DJ4" s="425"/>
      <c r="DK4" s="425"/>
      <c r="DL4" s="425"/>
      <c r="DM4" s="425"/>
      <c r="DN4" s="425"/>
      <c r="DO4" s="425"/>
      <c r="DP4" s="426"/>
      <c r="DQ4" s="413"/>
      <c r="DR4" s="414"/>
      <c r="DS4" s="413"/>
      <c r="DT4" s="414"/>
      <c r="DU4" s="415" t="s">
        <v>342</v>
      </c>
      <c r="DV4" s="416"/>
      <c r="DW4" s="417" t="s">
        <v>343</v>
      </c>
      <c r="DX4" s="416"/>
      <c r="DY4" s="418" t="s">
        <v>344</v>
      </c>
      <c r="DZ4" s="419"/>
      <c r="EA4" s="420" t="s">
        <v>345</v>
      </c>
      <c r="EB4" s="421"/>
      <c r="EC4" s="422" t="s">
        <v>346</v>
      </c>
      <c r="ED4" s="423"/>
      <c r="EE4" s="424"/>
      <c r="EF4" s="397"/>
      <c r="EG4" s="397"/>
      <c r="EH4" s="397"/>
      <c r="EI4" s="397"/>
      <c r="EJ4" s="397"/>
      <c r="EK4" s="397"/>
      <c r="EL4" s="397"/>
      <c r="EM4" s="397"/>
      <c r="EN4" s="397"/>
      <c r="EO4" s="397"/>
      <c r="EP4" s="397"/>
      <c r="EQ4" s="397"/>
      <c r="ER4" s="397"/>
      <c r="ES4" s="397"/>
      <c r="ET4" s="397"/>
      <c r="EU4" s="397"/>
      <c r="EV4" s="397"/>
      <c r="EW4" s="397"/>
      <c r="EX4" s="397"/>
      <c r="EY4" s="397"/>
      <c r="EZ4" s="397"/>
      <c r="FA4" s="397"/>
      <c r="FB4" s="397"/>
      <c r="FC4" s="397"/>
      <c r="FD4" s="397"/>
      <c r="FE4" s="397"/>
      <c r="FF4" s="397"/>
      <c r="FG4" s="397"/>
      <c r="FH4" s="397"/>
      <c r="FI4" s="397"/>
      <c r="FJ4" s="408"/>
      <c r="FK4" s="409"/>
      <c r="FL4" s="410"/>
      <c r="FM4" s="425"/>
      <c r="FN4" s="425"/>
      <c r="FO4" s="425"/>
      <c r="FP4" s="425"/>
      <c r="FQ4" s="425"/>
      <c r="FR4" s="425"/>
      <c r="FS4" s="426"/>
      <c r="FT4" s="413"/>
      <c r="FU4" s="414"/>
      <c r="FV4" s="413"/>
      <c r="FW4" s="414"/>
      <c r="FX4" s="415" t="s">
        <v>342</v>
      </c>
      <c r="FY4" s="416"/>
      <c r="FZ4" s="417" t="s">
        <v>343</v>
      </c>
      <c r="GA4" s="416"/>
      <c r="GB4" s="418" t="s">
        <v>344</v>
      </c>
      <c r="GC4" s="419"/>
      <c r="GD4" s="420" t="s">
        <v>345</v>
      </c>
      <c r="GE4" s="421"/>
      <c r="GF4" s="422" t="s">
        <v>324</v>
      </c>
      <c r="GG4" s="423"/>
      <c r="GH4" s="424"/>
      <c r="GI4" s="400"/>
      <c r="GJ4" s="427"/>
      <c r="GK4" s="427"/>
      <c r="GL4" s="427"/>
      <c r="GM4" s="427"/>
      <c r="GN4" s="427"/>
      <c r="GO4" s="427"/>
      <c r="GP4" s="427"/>
      <c r="GQ4" s="427"/>
      <c r="GR4" s="427"/>
      <c r="GS4" s="404"/>
      <c r="GT4" s="427"/>
      <c r="GU4" s="427"/>
      <c r="GV4" s="427"/>
      <c r="GW4" s="427"/>
      <c r="GX4" s="427"/>
      <c r="GY4" s="427"/>
      <c r="GZ4" s="427"/>
      <c r="HA4" s="427"/>
      <c r="HB4" s="427"/>
      <c r="HC4" s="1477"/>
      <c r="HD4" s="428"/>
      <c r="HE4" s="428"/>
      <c r="HF4" s="491"/>
      <c r="HG4" s="377"/>
      <c r="MO4" s="383" t="s">
        <v>324</v>
      </c>
    </row>
    <row r="5" spans="1:353" ht="24.95" customHeight="1" thickBot="1">
      <c r="A5" s="429" t="s">
        <v>348</v>
      </c>
      <c r="B5" s="430">
        <v>2</v>
      </c>
      <c r="C5" s="431" t="s">
        <v>349</v>
      </c>
      <c r="D5" s="432">
        <v>37.35</v>
      </c>
      <c r="E5" s="433" t="s">
        <v>350</v>
      </c>
      <c r="F5" s="434">
        <v>2.7</v>
      </c>
      <c r="G5" s="435" t="s">
        <v>351</v>
      </c>
      <c r="H5" s="436"/>
      <c r="I5" s="437">
        <v>100.89999999999999</v>
      </c>
      <c r="J5" s="438"/>
      <c r="K5" s="439">
        <v>0</v>
      </c>
      <c r="L5" s="440"/>
      <c r="M5" s="439">
        <v>0</v>
      </c>
      <c r="N5" s="440"/>
      <c r="O5" s="1470" t="s">
        <v>825</v>
      </c>
      <c r="P5" s="441"/>
      <c r="Q5" s="1471" t="s">
        <v>849</v>
      </c>
      <c r="R5" s="442"/>
      <c r="S5" s="1472" t="s">
        <v>850</v>
      </c>
      <c r="T5" s="443"/>
      <c r="U5" s="1473" t="s">
        <v>788</v>
      </c>
      <c r="V5" s="444"/>
      <c r="W5" s="445"/>
      <c r="X5" s="446"/>
      <c r="Y5" s="447"/>
      <c r="Z5" s="405"/>
      <c r="AA5" s="448"/>
      <c r="AB5" s="405"/>
      <c r="AC5" s="448"/>
      <c r="AD5" s="405"/>
      <c r="AE5" s="448"/>
      <c r="AF5" s="405"/>
      <c r="AG5" s="448"/>
      <c r="AH5" s="405"/>
      <c r="AI5" s="448"/>
      <c r="AJ5" s="405"/>
      <c r="AK5" s="448"/>
      <c r="AL5" s="405"/>
      <c r="AM5" s="448"/>
      <c r="AN5" s="405"/>
      <c r="AO5" s="448"/>
      <c r="AP5" s="405"/>
      <c r="AQ5" s="448"/>
      <c r="AR5" s="405"/>
      <c r="AS5" s="448"/>
      <c r="AT5" s="405"/>
      <c r="AU5" s="448"/>
      <c r="AV5" s="405"/>
      <c r="AW5" s="448"/>
      <c r="AX5" s="405"/>
      <c r="AY5" s="448"/>
      <c r="AZ5" s="405"/>
      <c r="BA5" s="448"/>
      <c r="BB5" s="405"/>
      <c r="BC5" s="405"/>
      <c r="BD5" s="429" t="s">
        <v>348</v>
      </c>
      <c r="BE5" s="430">
        <v>2</v>
      </c>
      <c r="BF5" s="431" t="s">
        <v>248</v>
      </c>
      <c r="BG5" s="432">
        <v>37.35</v>
      </c>
      <c r="BH5" s="433" t="s">
        <v>350</v>
      </c>
      <c r="BI5" s="434">
        <v>2.7</v>
      </c>
      <c r="BJ5" s="435" t="s">
        <v>351</v>
      </c>
      <c r="BK5" s="436"/>
      <c r="BL5" s="437">
        <v>100.89999999999999</v>
      </c>
      <c r="BM5" s="438"/>
      <c r="BN5" s="439">
        <v>0</v>
      </c>
      <c r="BO5" s="440"/>
      <c r="BP5" s="439">
        <v>0</v>
      </c>
      <c r="BQ5" s="440"/>
      <c r="BR5" s="1470" t="s">
        <v>754</v>
      </c>
      <c r="BS5" s="441"/>
      <c r="BT5" s="1471" t="s">
        <v>786</v>
      </c>
      <c r="BU5" s="442"/>
      <c r="BV5" s="1472" t="s">
        <v>787</v>
      </c>
      <c r="BW5" s="443"/>
      <c r="BX5" s="1473" t="s">
        <v>788</v>
      </c>
      <c r="BY5" s="444"/>
      <c r="BZ5" s="445"/>
      <c r="CA5" s="446"/>
      <c r="CB5" s="447"/>
      <c r="CC5" s="405"/>
      <c r="CD5" s="448"/>
      <c r="CE5" s="405"/>
      <c r="CF5" s="448"/>
      <c r="CG5" s="405"/>
      <c r="CH5" s="448"/>
      <c r="CI5" s="405"/>
      <c r="CJ5" s="448"/>
      <c r="CK5" s="405"/>
      <c r="CL5" s="448"/>
      <c r="CM5" s="405"/>
      <c r="CN5" s="448"/>
      <c r="CO5" s="405"/>
      <c r="CP5" s="448"/>
      <c r="CQ5" s="405"/>
      <c r="CR5" s="448"/>
      <c r="CS5" s="405"/>
      <c r="CT5" s="448"/>
      <c r="CU5" s="405"/>
      <c r="CV5" s="448"/>
      <c r="CW5" s="405"/>
      <c r="CX5" s="448"/>
      <c r="CY5" s="405"/>
      <c r="CZ5" s="448"/>
      <c r="DA5" s="405"/>
      <c r="DB5" s="448"/>
      <c r="DC5" s="405"/>
      <c r="DD5" s="448"/>
      <c r="DE5" s="405"/>
      <c r="DF5" s="405"/>
      <c r="DG5" s="429" t="s">
        <v>348</v>
      </c>
      <c r="DH5" s="430">
        <v>2</v>
      </c>
      <c r="DI5" s="431" t="s">
        <v>248</v>
      </c>
      <c r="DJ5" s="432">
        <v>37.35</v>
      </c>
      <c r="DK5" s="433" t="s">
        <v>350</v>
      </c>
      <c r="DL5" s="434">
        <v>2.7</v>
      </c>
      <c r="DM5" s="435" t="s">
        <v>351</v>
      </c>
      <c r="DN5" s="436"/>
      <c r="DO5" s="437">
        <v>100.89999999999999</v>
      </c>
      <c r="DP5" s="438"/>
      <c r="DQ5" s="439">
        <v>0</v>
      </c>
      <c r="DR5" s="440"/>
      <c r="DS5" s="439">
        <v>0</v>
      </c>
      <c r="DT5" s="440"/>
      <c r="DU5" s="1470" t="s">
        <v>797</v>
      </c>
      <c r="DV5" s="441"/>
      <c r="DW5" s="1471" t="s">
        <v>786</v>
      </c>
      <c r="DX5" s="442"/>
      <c r="DY5" s="1472" t="s">
        <v>787</v>
      </c>
      <c r="DZ5" s="443"/>
      <c r="EA5" s="1473" t="s">
        <v>788</v>
      </c>
      <c r="EB5" s="444"/>
      <c r="EC5" s="445"/>
      <c r="ED5" s="446"/>
      <c r="EE5" s="447"/>
      <c r="EF5" s="405"/>
      <c r="EG5" s="448"/>
      <c r="EH5" s="405"/>
      <c r="EI5" s="448"/>
      <c r="EJ5" s="405"/>
      <c r="EK5" s="448"/>
      <c r="EL5" s="405"/>
      <c r="EM5" s="448"/>
      <c r="EN5" s="405"/>
      <c r="EO5" s="448"/>
      <c r="EP5" s="405"/>
      <c r="EQ5" s="448"/>
      <c r="ER5" s="405"/>
      <c r="ES5" s="448"/>
      <c r="ET5" s="405"/>
      <c r="EU5" s="448"/>
      <c r="EV5" s="405"/>
      <c r="EW5" s="448"/>
      <c r="EX5" s="405"/>
      <c r="EY5" s="448"/>
      <c r="EZ5" s="405"/>
      <c r="FA5" s="448"/>
      <c r="FB5" s="405"/>
      <c r="FC5" s="448"/>
      <c r="FD5" s="405"/>
      <c r="FE5" s="448"/>
      <c r="FF5" s="405"/>
      <c r="FG5" s="448"/>
      <c r="FH5" s="405"/>
      <c r="FI5" s="405"/>
      <c r="FJ5" s="429" t="s">
        <v>348</v>
      </c>
      <c r="FK5" s="430">
        <v>2</v>
      </c>
      <c r="FL5" s="431" t="s">
        <v>248</v>
      </c>
      <c r="FM5" s="432">
        <v>37.35</v>
      </c>
      <c r="FN5" s="433" t="s">
        <v>350</v>
      </c>
      <c r="FO5" s="434">
        <v>2.7</v>
      </c>
      <c r="FP5" s="435" t="s">
        <v>351</v>
      </c>
      <c r="FQ5" s="436"/>
      <c r="FR5" s="437">
        <v>100.89999999999999</v>
      </c>
      <c r="FS5" s="438"/>
      <c r="FT5" s="439">
        <v>0</v>
      </c>
      <c r="FU5" s="440"/>
      <c r="FV5" s="439">
        <v>0</v>
      </c>
      <c r="FW5" s="440"/>
      <c r="FX5" s="1470" t="s">
        <v>851</v>
      </c>
      <c r="FY5" s="441"/>
      <c r="FZ5" s="1471" t="s">
        <v>852</v>
      </c>
      <c r="GA5" s="442"/>
      <c r="GB5" s="1472" t="s">
        <v>853</v>
      </c>
      <c r="GC5" s="443"/>
      <c r="GD5" s="1473" t="s">
        <v>768</v>
      </c>
      <c r="GE5" s="444"/>
      <c r="GF5" s="445"/>
      <c r="GG5" s="446"/>
      <c r="GH5" s="447"/>
      <c r="GI5" s="449"/>
      <c r="GJ5" s="400"/>
      <c r="GK5" s="450" t="s">
        <v>414</v>
      </c>
      <c r="GL5" s="450"/>
      <c r="GM5" s="450"/>
      <c r="GN5" s="400" t="s">
        <v>415</v>
      </c>
      <c r="GO5" s="451"/>
      <c r="GP5" s="451"/>
      <c r="GQ5" s="451"/>
      <c r="GR5" s="400"/>
      <c r="GS5" s="400"/>
      <c r="GT5" s="404"/>
      <c r="GU5" s="450" t="s">
        <v>416</v>
      </c>
      <c r="GV5" s="450"/>
      <c r="GW5" s="450"/>
      <c r="GX5" s="400" t="s">
        <v>415</v>
      </c>
      <c r="GY5" s="451"/>
      <c r="GZ5" s="451"/>
      <c r="HA5" s="451"/>
      <c r="HB5" s="400"/>
      <c r="HC5" s="452"/>
      <c r="HD5" s="428"/>
      <c r="HE5" s="428"/>
      <c r="HF5" s="491"/>
      <c r="HG5" s="377"/>
    </row>
    <row r="6" spans="1:353" ht="20.100000000000001" customHeight="1" thickBot="1">
      <c r="A6" s="453" t="s">
        <v>352</v>
      </c>
      <c r="B6" s="454"/>
      <c r="C6" s="455" t="s">
        <v>353</v>
      </c>
      <c r="D6" s="455"/>
      <c r="E6" s="455"/>
      <c r="F6" s="456">
        <v>0</v>
      </c>
      <c r="G6" s="456"/>
      <c r="H6" s="455" t="s">
        <v>354</v>
      </c>
      <c r="I6" s="455"/>
      <c r="J6" s="455"/>
      <c r="K6" s="455"/>
      <c r="L6" s="455"/>
      <c r="M6" s="457">
        <v>0</v>
      </c>
      <c r="N6" s="457"/>
      <c r="O6" s="458"/>
      <c r="P6" s="459"/>
      <c r="Q6" s="459" t="s">
        <v>355</v>
      </c>
      <c r="R6" s="460">
        <v>0</v>
      </c>
      <c r="S6" s="460"/>
      <c r="T6" s="461"/>
      <c r="U6" s="462" t="s">
        <v>356</v>
      </c>
      <c r="V6" s="463">
        <v>0</v>
      </c>
      <c r="W6" s="463"/>
      <c r="X6" s="464"/>
      <c r="Y6" s="459"/>
      <c r="Z6" s="459"/>
      <c r="AA6" s="459"/>
      <c r="AB6" s="457"/>
      <c r="AC6" s="457"/>
      <c r="AD6" s="459"/>
      <c r="AE6" s="458"/>
      <c r="AF6" s="454"/>
      <c r="AG6" s="459"/>
      <c r="AH6" s="459"/>
      <c r="AI6" s="464"/>
      <c r="AJ6" s="459"/>
      <c r="AK6" s="464"/>
      <c r="AL6" s="459"/>
      <c r="AM6" s="464"/>
      <c r="AN6" s="459"/>
      <c r="AO6" s="464"/>
      <c r="AP6" s="459"/>
      <c r="AQ6" s="464"/>
      <c r="AR6" s="459"/>
      <c r="AS6" s="464"/>
      <c r="AT6" s="459"/>
      <c r="AU6" s="464"/>
      <c r="AV6" s="459"/>
      <c r="AW6" s="464"/>
      <c r="AX6" s="465"/>
      <c r="AY6" s="464"/>
      <c r="AZ6" s="459"/>
      <c r="BA6" s="464"/>
      <c r="BB6" s="37" t="s">
        <v>358</v>
      </c>
      <c r="BC6" s="466"/>
      <c r="BD6" s="453" t="s">
        <v>352</v>
      </c>
      <c r="BE6" s="454"/>
      <c r="BF6" s="455" t="s">
        <v>353</v>
      </c>
      <c r="BG6" s="455"/>
      <c r="BH6" s="455"/>
      <c r="BI6" s="456">
        <v>0</v>
      </c>
      <c r="BJ6" s="456"/>
      <c r="BK6" s="455" t="s">
        <v>354</v>
      </c>
      <c r="BL6" s="455"/>
      <c r="BM6" s="455"/>
      <c r="BN6" s="455"/>
      <c r="BO6" s="455"/>
      <c r="BP6" s="457">
        <v>0</v>
      </c>
      <c r="BQ6" s="457"/>
      <c r="BR6" s="458"/>
      <c r="BS6" s="459"/>
      <c r="BT6" s="459" t="s">
        <v>250</v>
      </c>
      <c r="BU6" s="460">
        <v>0</v>
      </c>
      <c r="BV6" s="460"/>
      <c r="BW6" s="461"/>
      <c r="BX6" s="462" t="s">
        <v>251</v>
      </c>
      <c r="BY6" s="463">
        <v>0</v>
      </c>
      <c r="BZ6" s="463"/>
      <c r="CA6" s="464"/>
      <c r="CB6" s="459"/>
      <c r="CC6" s="459"/>
      <c r="CD6" s="464"/>
      <c r="CE6" s="457"/>
      <c r="CF6" s="457"/>
      <c r="CG6" s="459"/>
      <c r="CH6" s="458"/>
      <c r="CI6" s="454"/>
      <c r="CJ6" s="459"/>
      <c r="CK6" s="459"/>
      <c r="CL6" s="464"/>
      <c r="CM6" s="459"/>
      <c r="CN6" s="464"/>
      <c r="CO6" s="459"/>
      <c r="CP6" s="464"/>
      <c r="CQ6" s="459"/>
      <c r="CR6" s="464"/>
      <c r="CS6" s="459"/>
      <c r="CT6" s="464"/>
      <c r="CU6" s="459"/>
      <c r="CV6" s="464"/>
      <c r="CW6" s="459"/>
      <c r="CX6" s="464"/>
      <c r="CY6" s="459"/>
      <c r="CZ6" s="464"/>
      <c r="DA6" s="459"/>
      <c r="DB6" s="464"/>
      <c r="DC6" s="459"/>
      <c r="DD6" s="464"/>
      <c r="DE6" s="467" t="s">
        <v>360</v>
      </c>
      <c r="DF6" s="468"/>
      <c r="DG6" s="453" t="s">
        <v>352</v>
      </c>
      <c r="DH6" s="454"/>
      <c r="DI6" s="455" t="s">
        <v>353</v>
      </c>
      <c r="DJ6" s="455"/>
      <c r="DK6" s="455"/>
      <c r="DL6" s="456">
        <v>0</v>
      </c>
      <c r="DM6" s="456"/>
      <c r="DN6" s="455" t="s">
        <v>354</v>
      </c>
      <c r="DO6" s="455"/>
      <c r="DP6" s="455"/>
      <c r="DQ6" s="455"/>
      <c r="DR6" s="455"/>
      <c r="DS6" s="457">
        <v>0</v>
      </c>
      <c r="DT6" s="457"/>
      <c r="DU6" s="458"/>
      <c r="DV6" s="459"/>
      <c r="DW6" s="459" t="s">
        <v>250</v>
      </c>
      <c r="DX6" s="460">
        <v>0</v>
      </c>
      <c r="DY6" s="460"/>
      <c r="DZ6" s="461"/>
      <c r="EA6" s="462" t="s">
        <v>251</v>
      </c>
      <c r="EB6" s="463">
        <v>0</v>
      </c>
      <c r="EC6" s="463"/>
      <c r="ED6" s="464"/>
      <c r="EE6" s="459"/>
      <c r="EF6" s="464"/>
      <c r="EG6" s="459"/>
      <c r="EH6" s="454"/>
      <c r="EI6" s="464"/>
      <c r="EJ6" s="459"/>
      <c r="EK6" s="458"/>
      <c r="EL6" s="454"/>
      <c r="EM6" s="459"/>
      <c r="EN6" s="459"/>
      <c r="EO6" s="464"/>
      <c r="EP6" s="459"/>
      <c r="EQ6" s="464"/>
      <c r="ER6" s="459"/>
      <c r="ES6" s="464"/>
      <c r="ET6" s="459"/>
      <c r="EU6" s="464"/>
      <c r="EV6" s="459"/>
      <c r="EW6" s="464"/>
      <c r="EX6" s="459"/>
      <c r="EY6" s="464"/>
      <c r="EZ6" s="459"/>
      <c r="FA6" s="464"/>
      <c r="FB6" s="459"/>
      <c r="FC6" s="464"/>
      <c r="FD6" s="459"/>
      <c r="FE6" s="464"/>
      <c r="FF6" s="459"/>
      <c r="FG6" s="464"/>
      <c r="FH6" s="469" t="s">
        <v>362</v>
      </c>
      <c r="FI6" s="468"/>
      <c r="FJ6" s="453" t="s">
        <v>363</v>
      </c>
      <c r="FK6" s="454"/>
      <c r="FL6" s="455" t="s">
        <v>353</v>
      </c>
      <c r="FM6" s="455"/>
      <c r="FN6" s="455"/>
      <c r="FO6" s="456">
        <v>0</v>
      </c>
      <c r="FP6" s="456"/>
      <c r="FQ6" s="455" t="s">
        <v>354</v>
      </c>
      <c r="FR6" s="455"/>
      <c r="FS6" s="455"/>
      <c r="FT6" s="455"/>
      <c r="FU6" s="455"/>
      <c r="FV6" s="457">
        <v>0</v>
      </c>
      <c r="FW6" s="457"/>
      <c r="FX6" s="458"/>
      <c r="FY6" s="459"/>
      <c r="FZ6" s="459" t="s">
        <v>364</v>
      </c>
      <c r="GA6" s="460">
        <v>0</v>
      </c>
      <c r="GB6" s="460"/>
      <c r="GC6" s="461"/>
      <c r="GD6" s="462" t="s">
        <v>365</v>
      </c>
      <c r="GE6" s="463">
        <v>0</v>
      </c>
      <c r="GF6" s="463"/>
      <c r="GG6" s="464"/>
      <c r="GH6" s="459"/>
      <c r="GI6" s="459"/>
      <c r="GJ6" s="470"/>
      <c r="GK6" s="471" t="s">
        <v>417</v>
      </c>
      <c r="GL6" s="471"/>
      <c r="GM6" s="471"/>
      <c r="GN6" s="472">
        <v>2</v>
      </c>
      <c r="GO6" s="473"/>
      <c r="GP6" s="473"/>
      <c r="GQ6" s="473"/>
      <c r="GR6" s="470"/>
      <c r="GS6" s="470"/>
      <c r="GT6" s="404"/>
      <c r="GU6" s="471" t="s">
        <v>418</v>
      </c>
      <c r="GV6" s="471"/>
      <c r="GW6" s="471"/>
      <c r="GX6" s="472">
        <v>2</v>
      </c>
      <c r="GY6" s="404"/>
      <c r="GZ6" s="404"/>
      <c r="HA6" s="473"/>
      <c r="HB6" s="473"/>
      <c r="HC6" s="474"/>
      <c r="HD6" s="428"/>
      <c r="HE6" s="428"/>
      <c r="HF6" s="491"/>
      <c r="HG6" s="377"/>
    </row>
    <row r="7" spans="1:353" ht="20.100000000000001" customHeight="1">
      <c r="A7" s="475" t="s">
        <v>252</v>
      </c>
      <c r="B7" s="476"/>
      <c r="C7" s="476"/>
      <c r="D7" s="476"/>
      <c r="E7" s="476"/>
      <c r="F7" s="477"/>
      <c r="G7" s="478" t="s">
        <v>253</v>
      </c>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80"/>
      <c r="BC7" s="452"/>
      <c r="BD7" s="475" t="s">
        <v>252</v>
      </c>
      <c r="BE7" s="476"/>
      <c r="BF7" s="476"/>
      <c r="BG7" s="476"/>
      <c r="BH7" s="476"/>
      <c r="BI7" s="477"/>
      <c r="BJ7" s="478" t="s">
        <v>254</v>
      </c>
      <c r="BK7" s="479"/>
      <c r="BL7" s="479"/>
      <c r="BM7" s="479"/>
      <c r="BN7" s="479"/>
      <c r="BO7" s="479"/>
      <c r="BP7" s="479"/>
      <c r="BQ7" s="479"/>
      <c r="BR7" s="479"/>
      <c r="BS7" s="479"/>
      <c r="BT7" s="479"/>
      <c r="BU7" s="479"/>
      <c r="BV7" s="479"/>
      <c r="BW7" s="479"/>
      <c r="BX7" s="479"/>
      <c r="BY7" s="479"/>
      <c r="BZ7" s="479"/>
      <c r="CA7" s="479"/>
      <c r="CB7" s="479"/>
      <c r="CC7" s="479"/>
      <c r="CD7" s="479"/>
      <c r="CE7" s="479"/>
      <c r="CF7" s="479"/>
      <c r="CG7" s="479"/>
      <c r="CH7" s="479"/>
      <c r="CI7" s="479"/>
      <c r="CJ7" s="479"/>
      <c r="CK7" s="479"/>
      <c r="CL7" s="479"/>
      <c r="CM7" s="479"/>
      <c r="CN7" s="479"/>
      <c r="CO7" s="479"/>
      <c r="CP7" s="479"/>
      <c r="CQ7" s="479"/>
      <c r="CR7" s="479"/>
      <c r="CS7" s="479"/>
      <c r="CT7" s="479"/>
      <c r="CU7" s="479"/>
      <c r="CV7" s="479"/>
      <c r="CW7" s="479"/>
      <c r="CX7" s="479"/>
      <c r="CY7" s="479"/>
      <c r="CZ7" s="479"/>
      <c r="DA7" s="479"/>
      <c r="DB7" s="479"/>
      <c r="DC7" s="479"/>
      <c r="DD7" s="479"/>
      <c r="DE7" s="480"/>
      <c r="DF7" s="452"/>
      <c r="DG7" s="475" t="s">
        <v>252</v>
      </c>
      <c r="DH7" s="476"/>
      <c r="DI7" s="476"/>
      <c r="DJ7" s="476"/>
      <c r="DK7" s="476"/>
      <c r="DL7" s="477"/>
      <c r="DM7" s="478" t="s">
        <v>255</v>
      </c>
      <c r="DN7" s="479"/>
      <c r="DO7" s="479"/>
      <c r="DP7" s="479"/>
      <c r="DQ7" s="479"/>
      <c r="DR7" s="479"/>
      <c r="DS7" s="479"/>
      <c r="DT7" s="479"/>
      <c r="DU7" s="479"/>
      <c r="DV7" s="479"/>
      <c r="DW7" s="479"/>
      <c r="DX7" s="479"/>
      <c r="DY7" s="479"/>
      <c r="DZ7" s="479"/>
      <c r="EA7" s="479"/>
      <c r="EB7" s="479"/>
      <c r="EC7" s="479"/>
      <c r="ED7" s="479"/>
      <c r="EE7" s="479"/>
      <c r="EF7" s="479"/>
      <c r="EG7" s="479"/>
      <c r="EH7" s="479"/>
      <c r="EI7" s="479"/>
      <c r="EJ7" s="479"/>
      <c r="EK7" s="479"/>
      <c r="EL7" s="479"/>
      <c r="EM7" s="479"/>
      <c r="EN7" s="479"/>
      <c r="EO7" s="479"/>
      <c r="EP7" s="479"/>
      <c r="EQ7" s="479"/>
      <c r="ER7" s="479"/>
      <c r="ES7" s="479"/>
      <c r="ET7" s="479"/>
      <c r="EU7" s="479"/>
      <c r="EV7" s="479"/>
      <c r="EW7" s="479"/>
      <c r="EX7" s="479"/>
      <c r="EY7" s="479"/>
      <c r="EZ7" s="479"/>
      <c r="FA7" s="479"/>
      <c r="FB7" s="479"/>
      <c r="FC7" s="479"/>
      <c r="FD7" s="479"/>
      <c r="FE7" s="479"/>
      <c r="FF7" s="479"/>
      <c r="FG7" s="479"/>
      <c r="FH7" s="480"/>
      <c r="FI7" s="452"/>
      <c r="FJ7" s="475" t="s">
        <v>252</v>
      </c>
      <c r="FK7" s="476"/>
      <c r="FL7" s="476"/>
      <c r="FM7" s="476"/>
      <c r="FN7" s="476"/>
      <c r="FO7" s="477"/>
      <c r="FP7" s="481" t="s">
        <v>256</v>
      </c>
      <c r="FQ7" s="482"/>
      <c r="FR7" s="482"/>
      <c r="FS7" s="482"/>
      <c r="FT7" s="482"/>
      <c r="FU7" s="482"/>
      <c r="FV7" s="483" t="s">
        <v>257</v>
      </c>
      <c r="FW7" s="484"/>
      <c r="FX7" s="484"/>
      <c r="FY7" s="484"/>
      <c r="FZ7" s="484"/>
      <c r="GA7" s="484"/>
      <c r="GB7" s="484"/>
      <c r="GC7" s="484"/>
      <c r="GD7" s="484"/>
      <c r="GE7" s="485"/>
      <c r="GF7" s="486"/>
      <c r="GG7" s="451"/>
      <c r="GH7" s="451"/>
      <c r="GI7" s="451"/>
      <c r="GJ7" s="487"/>
      <c r="GK7" s="488"/>
      <c r="GL7" s="488"/>
      <c r="GM7" s="488"/>
      <c r="GN7" s="489"/>
      <c r="GO7" s="489"/>
      <c r="GP7" s="488"/>
      <c r="GQ7" s="488"/>
      <c r="GR7" s="488"/>
      <c r="GS7" s="488"/>
      <c r="GT7" s="488"/>
      <c r="GU7" s="488"/>
      <c r="GV7" s="488"/>
      <c r="GW7" s="488"/>
      <c r="GX7" s="488"/>
      <c r="GY7" s="488"/>
      <c r="GZ7" s="488"/>
      <c r="HA7" s="488"/>
      <c r="HB7" s="488"/>
      <c r="HC7" s="528"/>
      <c r="HD7" s="428"/>
      <c r="HE7" s="428"/>
      <c r="HF7" s="491"/>
      <c r="HG7" s="377"/>
    </row>
    <row r="8" spans="1:353" s="518" customFormat="1" ht="20.100000000000001" customHeight="1">
      <c r="A8" s="492"/>
      <c r="B8" s="493"/>
      <c r="C8" s="493"/>
      <c r="D8" s="493"/>
      <c r="E8" s="493"/>
      <c r="F8" s="494"/>
      <c r="G8" s="495">
        <v>1</v>
      </c>
      <c r="H8" s="496"/>
      <c r="I8" s="497">
        <v>2</v>
      </c>
      <c r="J8" s="496"/>
      <c r="K8" s="497">
        <v>3</v>
      </c>
      <c r="L8" s="496"/>
      <c r="M8" s="497">
        <v>4</v>
      </c>
      <c r="N8" s="496"/>
      <c r="O8" s="497">
        <v>5</v>
      </c>
      <c r="P8" s="496"/>
      <c r="Q8" s="497">
        <v>6</v>
      </c>
      <c r="R8" s="496"/>
      <c r="S8" s="497">
        <v>7</v>
      </c>
      <c r="T8" s="496"/>
      <c r="U8" s="497">
        <v>8</v>
      </c>
      <c r="V8" s="496"/>
      <c r="W8" s="497">
        <v>9</v>
      </c>
      <c r="X8" s="496"/>
      <c r="Y8" s="497">
        <v>10</v>
      </c>
      <c r="Z8" s="496"/>
      <c r="AA8" s="497">
        <v>11</v>
      </c>
      <c r="AB8" s="496"/>
      <c r="AC8" s="497">
        <v>12</v>
      </c>
      <c r="AD8" s="496"/>
      <c r="AE8" s="497">
        <v>13</v>
      </c>
      <c r="AF8" s="496"/>
      <c r="AG8" s="497">
        <v>14</v>
      </c>
      <c r="AH8" s="496"/>
      <c r="AI8" s="497">
        <v>15</v>
      </c>
      <c r="AJ8" s="496"/>
      <c r="AK8" s="497">
        <v>16</v>
      </c>
      <c r="AL8" s="496"/>
      <c r="AM8" s="497">
        <v>17</v>
      </c>
      <c r="AN8" s="496"/>
      <c r="AO8" s="497">
        <v>18</v>
      </c>
      <c r="AP8" s="496"/>
      <c r="AQ8" s="497">
        <v>19</v>
      </c>
      <c r="AR8" s="496"/>
      <c r="AS8" s="497">
        <v>20</v>
      </c>
      <c r="AT8" s="496"/>
      <c r="AU8" s="497">
        <v>21</v>
      </c>
      <c r="AV8" s="496"/>
      <c r="AW8" s="497">
        <v>22</v>
      </c>
      <c r="AX8" s="496"/>
      <c r="AY8" s="497">
        <v>23</v>
      </c>
      <c r="AZ8" s="496"/>
      <c r="BA8" s="497">
        <v>24</v>
      </c>
      <c r="BB8" s="498"/>
      <c r="BC8" s="474"/>
      <c r="BD8" s="492"/>
      <c r="BE8" s="493"/>
      <c r="BF8" s="493"/>
      <c r="BG8" s="493"/>
      <c r="BH8" s="493"/>
      <c r="BI8" s="494"/>
      <c r="BJ8" s="499">
        <v>1</v>
      </c>
      <c r="BK8" s="500"/>
      <c r="BL8" s="501">
        <v>2</v>
      </c>
      <c r="BM8" s="500"/>
      <c r="BN8" s="501">
        <v>3</v>
      </c>
      <c r="BO8" s="500"/>
      <c r="BP8" s="501">
        <v>4</v>
      </c>
      <c r="BQ8" s="500"/>
      <c r="BR8" s="501">
        <v>5</v>
      </c>
      <c r="BS8" s="500"/>
      <c r="BT8" s="501">
        <v>6</v>
      </c>
      <c r="BU8" s="500"/>
      <c r="BV8" s="501">
        <v>7</v>
      </c>
      <c r="BW8" s="500"/>
      <c r="BX8" s="501">
        <v>8</v>
      </c>
      <c r="BY8" s="500"/>
      <c r="BZ8" s="501">
        <v>9</v>
      </c>
      <c r="CA8" s="500"/>
      <c r="CB8" s="501">
        <v>10</v>
      </c>
      <c r="CC8" s="500"/>
      <c r="CD8" s="501">
        <v>11</v>
      </c>
      <c r="CE8" s="500"/>
      <c r="CF8" s="501">
        <v>12</v>
      </c>
      <c r="CG8" s="500"/>
      <c r="CH8" s="501">
        <v>13</v>
      </c>
      <c r="CI8" s="500"/>
      <c r="CJ8" s="501">
        <v>14</v>
      </c>
      <c r="CK8" s="500"/>
      <c r="CL8" s="501">
        <v>15</v>
      </c>
      <c r="CM8" s="500"/>
      <c r="CN8" s="501">
        <v>16</v>
      </c>
      <c r="CO8" s="500"/>
      <c r="CP8" s="501">
        <v>17</v>
      </c>
      <c r="CQ8" s="500"/>
      <c r="CR8" s="501">
        <v>18</v>
      </c>
      <c r="CS8" s="500"/>
      <c r="CT8" s="501">
        <v>19</v>
      </c>
      <c r="CU8" s="500"/>
      <c r="CV8" s="501">
        <v>20</v>
      </c>
      <c r="CW8" s="500"/>
      <c r="CX8" s="501">
        <v>21</v>
      </c>
      <c r="CY8" s="500"/>
      <c r="CZ8" s="501">
        <v>22</v>
      </c>
      <c r="DA8" s="500"/>
      <c r="DB8" s="501">
        <v>23</v>
      </c>
      <c r="DC8" s="500"/>
      <c r="DD8" s="501">
        <v>24</v>
      </c>
      <c r="DE8" s="502"/>
      <c r="DF8" s="474"/>
      <c r="DG8" s="492"/>
      <c r="DH8" s="493"/>
      <c r="DI8" s="493"/>
      <c r="DJ8" s="493"/>
      <c r="DK8" s="493"/>
      <c r="DL8" s="494"/>
      <c r="DM8" s="503">
        <v>1</v>
      </c>
      <c r="DN8" s="504"/>
      <c r="DO8" s="505">
        <v>2</v>
      </c>
      <c r="DP8" s="504"/>
      <c r="DQ8" s="505">
        <v>3</v>
      </c>
      <c r="DR8" s="504"/>
      <c r="DS8" s="505">
        <v>4</v>
      </c>
      <c r="DT8" s="504"/>
      <c r="DU8" s="505">
        <v>5</v>
      </c>
      <c r="DV8" s="504"/>
      <c r="DW8" s="505">
        <v>6</v>
      </c>
      <c r="DX8" s="504"/>
      <c r="DY8" s="505">
        <v>7</v>
      </c>
      <c r="DZ8" s="504"/>
      <c r="EA8" s="505">
        <v>8</v>
      </c>
      <c r="EB8" s="504"/>
      <c r="EC8" s="505">
        <v>9</v>
      </c>
      <c r="ED8" s="504"/>
      <c r="EE8" s="505">
        <v>10</v>
      </c>
      <c r="EF8" s="504"/>
      <c r="EG8" s="505">
        <v>11</v>
      </c>
      <c r="EH8" s="504"/>
      <c r="EI8" s="505">
        <v>12</v>
      </c>
      <c r="EJ8" s="504"/>
      <c r="EK8" s="505">
        <v>13</v>
      </c>
      <c r="EL8" s="504"/>
      <c r="EM8" s="505">
        <v>14</v>
      </c>
      <c r="EN8" s="504"/>
      <c r="EO8" s="505">
        <v>15</v>
      </c>
      <c r="EP8" s="504"/>
      <c r="EQ8" s="505">
        <v>16</v>
      </c>
      <c r="ER8" s="504"/>
      <c r="ES8" s="505">
        <v>17</v>
      </c>
      <c r="ET8" s="504"/>
      <c r="EU8" s="505">
        <v>18</v>
      </c>
      <c r="EV8" s="504"/>
      <c r="EW8" s="505">
        <v>19</v>
      </c>
      <c r="EX8" s="504"/>
      <c r="EY8" s="505">
        <v>20</v>
      </c>
      <c r="EZ8" s="504"/>
      <c r="FA8" s="505">
        <v>21</v>
      </c>
      <c r="FB8" s="504"/>
      <c r="FC8" s="505">
        <v>22</v>
      </c>
      <c r="FD8" s="504"/>
      <c r="FE8" s="505">
        <v>23</v>
      </c>
      <c r="FF8" s="504"/>
      <c r="FG8" s="505">
        <v>24</v>
      </c>
      <c r="FH8" s="506"/>
      <c r="FI8" s="474"/>
      <c r="FJ8" s="492"/>
      <c r="FK8" s="493"/>
      <c r="FL8" s="493"/>
      <c r="FM8" s="493"/>
      <c r="FN8" s="493"/>
      <c r="FO8" s="494"/>
      <c r="FP8" s="507" t="s">
        <v>258</v>
      </c>
      <c r="FQ8" s="508"/>
      <c r="FR8" s="509"/>
      <c r="FS8" s="510" t="s">
        <v>259</v>
      </c>
      <c r="FT8" s="510"/>
      <c r="FU8" s="511"/>
      <c r="FV8" s="512"/>
      <c r="FW8" s="513"/>
      <c r="FX8" s="513"/>
      <c r="FY8" s="513"/>
      <c r="FZ8" s="513"/>
      <c r="GA8" s="513"/>
      <c r="GB8" s="513"/>
      <c r="GC8" s="513"/>
      <c r="GD8" s="513"/>
      <c r="GE8" s="514"/>
      <c r="GF8" s="486"/>
      <c r="GG8" s="470"/>
      <c r="GH8" s="470"/>
      <c r="GI8" s="470"/>
      <c r="GJ8" s="515" t="s">
        <v>395</v>
      </c>
      <c r="GK8" s="515"/>
      <c r="GL8" s="516"/>
      <c r="GM8" s="517"/>
      <c r="GN8" s="516"/>
      <c r="GO8" s="517"/>
      <c r="GP8" s="516"/>
      <c r="GQ8" s="516"/>
      <c r="GR8" s="516"/>
      <c r="GS8" s="516"/>
      <c r="GT8" s="515" t="s">
        <v>395</v>
      </c>
      <c r="GU8" s="515"/>
      <c r="GV8" s="404"/>
      <c r="GW8" s="470"/>
      <c r="GX8" s="473"/>
      <c r="GY8" s="470"/>
      <c r="GZ8" s="473"/>
      <c r="HA8" s="517"/>
      <c r="HB8" s="517"/>
      <c r="HC8" s="517"/>
      <c r="HD8" s="428"/>
      <c r="HE8" s="428"/>
      <c r="HF8" s="1475"/>
      <c r="HG8" s="1475"/>
    </row>
    <row r="9" spans="1:353" ht="22.5" customHeight="1">
      <c r="A9" s="519" t="s">
        <v>260</v>
      </c>
      <c r="B9" s="520" t="s">
        <v>261</v>
      </c>
      <c r="C9" s="521" t="s">
        <v>262</v>
      </c>
      <c r="D9" s="521" t="s">
        <v>691</v>
      </c>
      <c r="E9" s="522" t="s">
        <v>692</v>
      </c>
      <c r="F9" s="523" t="s">
        <v>265</v>
      </c>
      <c r="G9" s="524" t="s">
        <v>693</v>
      </c>
      <c r="H9" s="525" t="s">
        <v>694</v>
      </c>
      <c r="I9" s="526" t="s">
        <v>268</v>
      </c>
      <c r="J9" s="525" t="s">
        <v>694</v>
      </c>
      <c r="K9" s="526" t="s">
        <v>268</v>
      </c>
      <c r="L9" s="525" t="s">
        <v>694</v>
      </c>
      <c r="M9" s="526" t="s">
        <v>268</v>
      </c>
      <c r="N9" s="525" t="s">
        <v>694</v>
      </c>
      <c r="O9" s="526" t="s">
        <v>268</v>
      </c>
      <c r="P9" s="525" t="s">
        <v>694</v>
      </c>
      <c r="Q9" s="526" t="s">
        <v>268</v>
      </c>
      <c r="R9" s="525" t="s">
        <v>694</v>
      </c>
      <c r="S9" s="526" t="s">
        <v>268</v>
      </c>
      <c r="T9" s="525" t="s">
        <v>694</v>
      </c>
      <c r="U9" s="526" t="s">
        <v>268</v>
      </c>
      <c r="V9" s="525" t="s">
        <v>694</v>
      </c>
      <c r="W9" s="526" t="s">
        <v>268</v>
      </c>
      <c r="X9" s="525" t="s">
        <v>694</v>
      </c>
      <c r="Y9" s="526" t="s">
        <v>268</v>
      </c>
      <c r="Z9" s="525" t="s">
        <v>694</v>
      </c>
      <c r="AA9" s="526" t="s">
        <v>268</v>
      </c>
      <c r="AB9" s="525" t="s">
        <v>694</v>
      </c>
      <c r="AC9" s="526" t="s">
        <v>268</v>
      </c>
      <c r="AD9" s="525" t="s">
        <v>694</v>
      </c>
      <c r="AE9" s="526" t="s">
        <v>268</v>
      </c>
      <c r="AF9" s="525" t="s">
        <v>694</v>
      </c>
      <c r="AG9" s="526" t="s">
        <v>268</v>
      </c>
      <c r="AH9" s="525" t="s">
        <v>694</v>
      </c>
      <c r="AI9" s="526" t="s">
        <v>268</v>
      </c>
      <c r="AJ9" s="525" t="s">
        <v>694</v>
      </c>
      <c r="AK9" s="526" t="s">
        <v>268</v>
      </c>
      <c r="AL9" s="525" t="s">
        <v>694</v>
      </c>
      <c r="AM9" s="526" t="s">
        <v>268</v>
      </c>
      <c r="AN9" s="525" t="s">
        <v>694</v>
      </c>
      <c r="AO9" s="526" t="s">
        <v>268</v>
      </c>
      <c r="AP9" s="525" t="s">
        <v>694</v>
      </c>
      <c r="AQ9" s="526" t="s">
        <v>268</v>
      </c>
      <c r="AR9" s="525" t="s">
        <v>694</v>
      </c>
      <c r="AS9" s="526" t="s">
        <v>268</v>
      </c>
      <c r="AT9" s="525" t="s">
        <v>694</v>
      </c>
      <c r="AU9" s="526" t="s">
        <v>268</v>
      </c>
      <c r="AV9" s="525" t="s">
        <v>694</v>
      </c>
      <c r="AW9" s="526" t="s">
        <v>268</v>
      </c>
      <c r="AX9" s="525" t="s">
        <v>694</v>
      </c>
      <c r="AY9" s="526" t="s">
        <v>268</v>
      </c>
      <c r="AZ9" s="525" t="s">
        <v>694</v>
      </c>
      <c r="BA9" s="526" t="s">
        <v>268</v>
      </c>
      <c r="BB9" s="527" t="s">
        <v>271</v>
      </c>
      <c r="BC9" s="490"/>
      <c r="BD9" s="519" t="s">
        <v>260</v>
      </c>
      <c r="BE9" s="520" t="s">
        <v>261</v>
      </c>
      <c r="BF9" s="521" t="s">
        <v>262</v>
      </c>
      <c r="BG9" s="521" t="s">
        <v>691</v>
      </c>
      <c r="BH9" s="522" t="s">
        <v>692</v>
      </c>
      <c r="BI9" s="523" t="s">
        <v>265</v>
      </c>
      <c r="BJ9" s="524" t="s">
        <v>693</v>
      </c>
      <c r="BK9" s="525" t="s">
        <v>694</v>
      </c>
      <c r="BL9" s="526" t="s">
        <v>268</v>
      </c>
      <c r="BM9" s="525" t="s">
        <v>694</v>
      </c>
      <c r="BN9" s="526" t="s">
        <v>268</v>
      </c>
      <c r="BO9" s="525" t="s">
        <v>694</v>
      </c>
      <c r="BP9" s="526" t="s">
        <v>268</v>
      </c>
      <c r="BQ9" s="525" t="s">
        <v>694</v>
      </c>
      <c r="BR9" s="526" t="s">
        <v>268</v>
      </c>
      <c r="BS9" s="525" t="s">
        <v>694</v>
      </c>
      <c r="BT9" s="526" t="s">
        <v>268</v>
      </c>
      <c r="BU9" s="525" t="s">
        <v>694</v>
      </c>
      <c r="BV9" s="526" t="s">
        <v>268</v>
      </c>
      <c r="BW9" s="525" t="s">
        <v>694</v>
      </c>
      <c r="BX9" s="526" t="s">
        <v>268</v>
      </c>
      <c r="BY9" s="525" t="s">
        <v>694</v>
      </c>
      <c r="BZ9" s="526" t="s">
        <v>268</v>
      </c>
      <c r="CA9" s="525" t="s">
        <v>694</v>
      </c>
      <c r="CB9" s="526" t="s">
        <v>268</v>
      </c>
      <c r="CC9" s="525" t="s">
        <v>694</v>
      </c>
      <c r="CD9" s="526" t="s">
        <v>268</v>
      </c>
      <c r="CE9" s="525" t="s">
        <v>694</v>
      </c>
      <c r="CF9" s="526" t="s">
        <v>268</v>
      </c>
      <c r="CG9" s="525" t="s">
        <v>694</v>
      </c>
      <c r="CH9" s="526" t="s">
        <v>268</v>
      </c>
      <c r="CI9" s="525" t="s">
        <v>694</v>
      </c>
      <c r="CJ9" s="526" t="s">
        <v>268</v>
      </c>
      <c r="CK9" s="525" t="s">
        <v>694</v>
      </c>
      <c r="CL9" s="526" t="s">
        <v>268</v>
      </c>
      <c r="CM9" s="525" t="s">
        <v>694</v>
      </c>
      <c r="CN9" s="526" t="s">
        <v>268</v>
      </c>
      <c r="CO9" s="525" t="s">
        <v>694</v>
      </c>
      <c r="CP9" s="526" t="s">
        <v>268</v>
      </c>
      <c r="CQ9" s="525" t="s">
        <v>694</v>
      </c>
      <c r="CR9" s="526" t="s">
        <v>268</v>
      </c>
      <c r="CS9" s="525" t="s">
        <v>694</v>
      </c>
      <c r="CT9" s="526" t="s">
        <v>268</v>
      </c>
      <c r="CU9" s="525" t="s">
        <v>694</v>
      </c>
      <c r="CV9" s="526" t="s">
        <v>268</v>
      </c>
      <c r="CW9" s="525" t="s">
        <v>694</v>
      </c>
      <c r="CX9" s="526" t="s">
        <v>268</v>
      </c>
      <c r="CY9" s="525" t="s">
        <v>694</v>
      </c>
      <c r="CZ9" s="526" t="s">
        <v>268</v>
      </c>
      <c r="DA9" s="525" t="s">
        <v>694</v>
      </c>
      <c r="DB9" s="526" t="s">
        <v>268</v>
      </c>
      <c r="DC9" s="525" t="s">
        <v>694</v>
      </c>
      <c r="DD9" s="526" t="s">
        <v>268</v>
      </c>
      <c r="DE9" s="527" t="s">
        <v>271</v>
      </c>
      <c r="DF9" s="490"/>
      <c r="DG9" s="519" t="s">
        <v>260</v>
      </c>
      <c r="DH9" s="520" t="s">
        <v>261</v>
      </c>
      <c r="DI9" s="521" t="s">
        <v>262</v>
      </c>
      <c r="DJ9" s="521" t="s">
        <v>691</v>
      </c>
      <c r="DK9" s="522" t="s">
        <v>692</v>
      </c>
      <c r="DL9" s="523" t="s">
        <v>265</v>
      </c>
      <c r="DM9" s="524" t="s">
        <v>693</v>
      </c>
      <c r="DN9" s="525" t="s">
        <v>694</v>
      </c>
      <c r="DO9" s="526" t="s">
        <v>268</v>
      </c>
      <c r="DP9" s="525" t="s">
        <v>694</v>
      </c>
      <c r="DQ9" s="526" t="s">
        <v>268</v>
      </c>
      <c r="DR9" s="525" t="s">
        <v>694</v>
      </c>
      <c r="DS9" s="526" t="s">
        <v>268</v>
      </c>
      <c r="DT9" s="525" t="s">
        <v>694</v>
      </c>
      <c r="DU9" s="526" t="s">
        <v>268</v>
      </c>
      <c r="DV9" s="525" t="s">
        <v>694</v>
      </c>
      <c r="DW9" s="526" t="s">
        <v>268</v>
      </c>
      <c r="DX9" s="525" t="s">
        <v>694</v>
      </c>
      <c r="DY9" s="526" t="s">
        <v>268</v>
      </c>
      <c r="DZ9" s="525" t="s">
        <v>694</v>
      </c>
      <c r="EA9" s="526" t="s">
        <v>268</v>
      </c>
      <c r="EB9" s="525" t="s">
        <v>694</v>
      </c>
      <c r="EC9" s="526" t="s">
        <v>268</v>
      </c>
      <c r="ED9" s="525" t="s">
        <v>694</v>
      </c>
      <c r="EE9" s="526" t="s">
        <v>268</v>
      </c>
      <c r="EF9" s="525" t="s">
        <v>694</v>
      </c>
      <c r="EG9" s="526" t="s">
        <v>268</v>
      </c>
      <c r="EH9" s="525" t="s">
        <v>694</v>
      </c>
      <c r="EI9" s="526" t="s">
        <v>268</v>
      </c>
      <c r="EJ9" s="525" t="s">
        <v>694</v>
      </c>
      <c r="EK9" s="526" t="s">
        <v>268</v>
      </c>
      <c r="EL9" s="525" t="s">
        <v>694</v>
      </c>
      <c r="EM9" s="526" t="s">
        <v>268</v>
      </c>
      <c r="EN9" s="525" t="s">
        <v>694</v>
      </c>
      <c r="EO9" s="526" t="s">
        <v>268</v>
      </c>
      <c r="EP9" s="525" t="s">
        <v>694</v>
      </c>
      <c r="EQ9" s="526" t="s">
        <v>268</v>
      </c>
      <c r="ER9" s="525" t="s">
        <v>694</v>
      </c>
      <c r="ES9" s="526" t="s">
        <v>268</v>
      </c>
      <c r="ET9" s="525" t="s">
        <v>694</v>
      </c>
      <c r="EU9" s="526" t="s">
        <v>268</v>
      </c>
      <c r="EV9" s="525" t="s">
        <v>694</v>
      </c>
      <c r="EW9" s="526" t="s">
        <v>268</v>
      </c>
      <c r="EX9" s="525" t="s">
        <v>694</v>
      </c>
      <c r="EY9" s="526" t="s">
        <v>268</v>
      </c>
      <c r="EZ9" s="525" t="s">
        <v>694</v>
      </c>
      <c r="FA9" s="526" t="s">
        <v>268</v>
      </c>
      <c r="FB9" s="525" t="s">
        <v>694</v>
      </c>
      <c r="FC9" s="526" t="s">
        <v>268</v>
      </c>
      <c r="FD9" s="525" t="s">
        <v>694</v>
      </c>
      <c r="FE9" s="526" t="s">
        <v>268</v>
      </c>
      <c r="FF9" s="525" t="s">
        <v>694</v>
      </c>
      <c r="FG9" s="526" t="s">
        <v>268</v>
      </c>
      <c r="FH9" s="527" t="s">
        <v>271</v>
      </c>
      <c r="FI9" s="528"/>
      <c r="FJ9" s="529" t="s">
        <v>260</v>
      </c>
      <c r="FK9" s="520" t="s">
        <v>261</v>
      </c>
      <c r="FL9" s="521" t="s">
        <v>262</v>
      </c>
      <c r="FM9" s="521" t="s">
        <v>691</v>
      </c>
      <c r="FN9" s="522" t="s">
        <v>692</v>
      </c>
      <c r="FO9" s="523" t="s">
        <v>265</v>
      </c>
      <c r="FP9" s="530" t="s">
        <v>48</v>
      </c>
      <c r="FQ9" s="531" t="s">
        <v>268</v>
      </c>
      <c r="FR9" s="525" t="s">
        <v>271</v>
      </c>
      <c r="FS9" s="532" t="s">
        <v>48</v>
      </c>
      <c r="FT9" s="531" t="s">
        <v>268</v>
      </c>
      <c r="FU9" s="525" t="s">
        <v>271</v>
      </c>
      <c r="FV9" s="512"/>
      <c r="FW9" s="513"/>
      <c r="FX9" s="513"/>
      <c r="FY9" s="513"/>
      <c r="FZ9" s="513"/>
      <c r="GA9" s="513"/>
      <c r="GB9" s="513"/>
      <c r="GC9" s="513"/>
      <c r="GD9" s="533"/>
      <c r="GE9" s="534"/>
      <c r="GF9" s="486"/>
      <c r="GG9" s="535"/>
      <c r="GH9" s="535"/>
      <c r="GI9" s="535"/>
      <c r="GJ9" s="516"/>
      <c r="GK9" s="517" t="s">
        <v>419</v>
      </c>
      <c r="GL9" s="516"/>
      <c r="GM9" s="517"/>
      <c r="GN9" s="516"/>
      <c r="GO9" s="536">
        <v>0.92</v>
      </c>
      <c r="GP9" s="516"/>
      <c r="GQ9" s="516"/>
      <c r="GR9" s="516"/>
      <c r="GS9" s="516"/>
      <c r="GT9" s="537"/>
      <c r="GU9" s="470" t="s">
        <v>420</v>
      </c>
      <c r="GV9" s="404"/>
      <c r="GW9" s="470"/>
      <c r="GX9" s="538">
        <v>1</v>
      </c>
      <c r="GY9" s="470"/>
      <c r="GZ9" s="473"/>
      <c r="HA9" s="517"/>
      <c r="HB9" s="517"/>
      <c r="HC9" s="517"/>
      <c r="HD9" s="428"/>
      <c r="HE9" s="428"/>
      <c r="HF9" s="1479"/>
      <c r="HG9" s="1479"/>
    </row>
    <row r="10" spans="1:353" ht="20.100000000000001" customHeight="1">
      <c r="A10" s="539"/>
      <c r="B10" s="540"/>
      <c r="C10" s="541"/>
      <c r="D10" s="542"/>
      <c r="E10" s="540"/>
      <c r="F10" s="541"/>
      <c r="G10" s="543"/>
      <c r="H10" s="544"/>
      <c r="I10" s="545"/>
      <c r="J10" s="546"/>
      <c r="K10" s="547"/>
      <c r="L10" s="546"/>
      <c r="M10" s="547"/>
      <c r="N10" s="546"/>
      <c r="O10" s="547"/>
      <c r="P10" s="546"/>
      <c r="Q10" s="547"/>
      <c r="R10" s="546"/>
      <c r="S10" s="547"/>
      <c r="T10" s="546"/>
      <c r="U10" s="547"/>
      <c r="V10" s="546"/>
      <c r="W10" s="547"/>
      <c r="X10" s="546"/>
      <c r="Y10" s="547"/>
      <c r="Z10" s="546"/>
      <c r="AA10" s="547"/>
      <c r="AB10" s="546"/>
      <c r="AC10" s="547"/>
      <c r="AD10" s="546"/>
      <c r="AE10" s="547"/>
      <c r="AF10" s="546"/>
      <c r="AG10" s="547"/>
      <c r="AH10" s="546"/>
      <c r="AI10" s="547"/>
      <c r="AJ10" s="546"/>
      <c r="AK10" s="547"/>
      <c r="AL10" s="546"/>
      <c r="AM10" s="547"/>
      <c r="AN10" s="546"/>
      <c r="AO10" s="547"/>
      <c r="AP10" s="546"/>
      <c r="AQ10" s="547"/>
      <c r="AR10" s="546"/>
      <c r="AS10" s="547"/>
      <c r="AT10" s="546"/>
      <c r="AU10" s="547"/>
      <c r="AV10" s="546"/>
      <c r="AW10" s="547"/>
      <c r="AX10" s="546"/>
      <c r="AY10" s="547"/>
      <c r="AZ10" s="546"/>
      <c r="BA10" s="547"/>
      <c r="BB10" s="548"/>
      <c r="BC10" s="549"/>
      <c r="BD10" s="539"/>
      <c r="BE10" s="540"/>
      <c r="BF10" s="541"/>
      <c r="BG10" s="542"/>
      <c r="BH10" s="540"/>
      <c r="BI10" s="541"/>
      <c r="BJ10" s="543"/>
      <c r="BK10" s="544"/>
      <c r="BL10" s="545"/>
      <c r="BM10" s="546"/>
      <c r="BN10" s="547"/>
      <c r="BO10" s="546"/>
      <c r="BP10" s="547"/>
      <c r="BQ10" s="546"/>
      <c r="BR10" s="547"/>
      <c r="BS10" s="546"/>
      <c r="BT10" s="547"/>
      <c r="BU10" s="546"/>
      <c r="BV10" s="547"/>
      <c r="BW10" s="546"/>
      <c r="BX10" s="547"/>
      <c r="BY10" s="546"/>
      <c r="BZ10" s="547"/>
      <c r="CA10" s="546"/>
      <c r="CB10" s="547"/>
      <c r="CC10" s="546"/>
      <c r="CD10" s="547"/>
      <c r="CE10" s="546"/>
      <c r="CF10" s="547"/>
      <c r="CG10" s="546"/>
      <c r="CH10" s="547"/>
      <c r="CI10" s="546"/>
      <c r="CJ10" s="547"/>
      <c r="CK10" s="546"/>
      <c r="CL10" s="547"/>
      <c r="CM10" s="546"/>
      <c r="CN10" s="547"/>
      <c r="CO10" s="546"/>
      <c r="CP10" s="547"/>
      <c r="CQ10" s="546"/>
      <c r="CR10" s="547"/>
      <c r="CS10" s="546"/>
      <c r="CT10" s="547"/>
      <c r="CU10" s="546"/>
      <c r="CV10" s="547"/>
      <c r="CW10" s="546"/>
      <c r="CX10" s="547"/>
      <c r="CY10" s="546"/>
      <c r="CZ10" s="547"/>
      <c r="DA10" s="546"/>
      <c r="DB10" s="547"/>
      <c r="DC10" s="546"/>
      <c r="DD10" s="547"/>
      <c r="DE10" s="548"/>
      <c r="DF10" s="549"/>
      <c r="DG10" s="539"/>
      <c r="DH10" s="540"/>
      <c r="DI10" s="541"/>
      <c r="DJ10" s="542"/>
      <c r="DK10" s="540"/>
      <c r="DL10" s="541"/>
      <c r="DM10" s="543"/>
      <c r="DN10" s="544"/>
      <c r="DO10" s="545"/>
      <c r="DP10" s="546"/>
      <c r="DQ10" s="547"/>
      <c r="DR10" s="546"/>
      <c r="DS10" s="547"/>
      <c r="DT10" s="546"/>
      <c r="DU10" s="547"/>
      <c r="DV10" s="546"/>
      <c r="DW10" s="547"/>
      <c r="DX10" s="546"/>
      <c r="DY10" s="547"/>
      <c r="DZ10" s="546"/>
      <c r="EA10" s="547"/>
      <c r="EB10" s="546"/>
      <c r="EC10" s="547"/>
      <c r="ED10" s="546"/>
      <c r="EE10" s="547"/>
      <c r="EF10" s="546"/>
      <c r="EG10" s="547"/>
      <c r="EH10" s="546"/>
      <c r="EI10" s="547"/>
      <c r="EJ10" s="546"/>
      <c r="EK10" s="547"/>
      <c r="EL10" s="546"/>
      <c r="EM10" s="547"/>
      <c r="EN10" s="546"/>
      <c r="EO10" s="547"/>
      <c r="EP10" s="546"/>
      <c r="EQ10" s="547"/>
      <c r="ER10" s="546"/>
      <c r="ES10" s="547"/>
      <c r="ET10" s="546"/>
      <c r="EU10" s="547"/>
      <c r="EV10" s="546"/>
      <c r="EW10" s="547"/>
      <c r="EX10" s="546"/>
      <c r="EY10" s="547"/>
      <c r="EZ10" s="546"/>
      <c r="FA10" s="547"/>
      <c r="FB10" s="546"/>
      <c r="FC10" s="547"/>
      <c r="FD10" s="546"/>
      <c r="FE10" s="547"/>
      <c r="FF10" s="546"/>
      <c r="FG10" s="547"/>
      <c r="FH10" s="548"/>
      <c r="FI10" s="550"/>
      <c r="FJ10" s="551"/>
      <c r="FK10" s="540"/>
      <c r="FL10" s="541"/>
      <c r="FM10" s="542"/>
      <c r="FN10" s="540"/>
      <c r="FO10" s="541"/>
      <c r="FP10" s="552"/>
      <c r="FQ10" s="545"/>
      <c r="FR10" s="544" t="s">
        <v>695</v>
      </c>
      <c r="FS10" s="553"/>
      <c r="FT10" s="545"/>
      <c r="FU10" s="554" t="s">
        <v>695</v>
      </c>
      <c r="FV10" s="1255" t="s">
        <v>276</v>
      </c>
      <c r="FW10" s="1300"/>
      <c r="FX10" s="1283" t="s">
        <v>277</v>
      </c>
      <c r="FY10" s="1301"/>
      <c r="FZ10" s="1285" t="s">
        <v>278</v>
      </c>
      <c r="GA10" s="1302"/>
      <c r="GB10" s="1287" t="s">
        <v>705</v>
      </c>
      <c r="GC10" s="1303"/>
      <c r="GD10" s="563" t="s">
        <v>652</v>
      </c>
      <c r="GE10" s="564"/>
      <c r="GF10" s="486"/>
      <c r="GG10" s="535"/>
      <c r="GH10" s="535"/>
      <c r="GI10" s="535"/>
      <c r="GJ10" s="565"/>
      <c r="GK10" s="487"/>
      <c r="GL10" s="487"/>
      <c r="GM10" s="566"/>
      <c r="GN10" s="566"/>
      <c r="GO10" s="565"/>
      <c r="GP10" s="487"/>
      <c r="GQ10" s="487"/>
      <c r="GR10" s="487"/>
      <c r="GS10" s="487"/>
      <c r="GT10" s="487"/>
      <c r="GU10" s="487"/>
      <c r="GV10" s="487"/>
      <c r="GW10" s="566"/>
      <c r="GX10" s="566"/>
      <c r="GY10" s="566"/>
      <c r="GZ10" s="565"/>
      <c r="HA10" s="487"/>
      <c r="HB10" s="487"/>
      <c r="HC10" s="567"/>
      <c r="HD10" s="782"/>
      <c r="HE10" s="428"/>
      <c r="HF10" s="1479"/>
      <c r="HG10" s="1479"/>
    </row>
    <row r="11" spans="1:353" ht="20.100000000000001" customHeight="1">
      <c r="A11" s="539"/>
      <c r="B11" s="568"/>
      <c r="C11" s="569"/>
      <c r="D11" s="570"/>
      <c r="E11" s="568"/>
      <c r="F11" s="569"/>
      <c r="G11" s="571"/>
      <c r="H11" s="572"/>
      <c r="I11" s="573"/>
      <c r="J11" s="574"/>
      <c r="K11" s="575"/>
      <c r="L11" s="574"/>
      <c r="M11" s="575"/>
      <c r="N11" s="574"/>
      <c r="O11" s="575"/>
      <c r="P11" s="574"/>
      <c r="Q11" s="575"/>
      <c r="R11" s="574"/>
      <c r="S11" s="575"/>
      <c r="T11" s="574"/>
      <c r="U11" s="575"/>
      <c r="V11" s="574"/>
      <c r="W11" s="575"/>
      <c r="X11" s="574"/>
      <c r="Y11" s="575"/>
      <c r="Z11" s="574"/>
      <c r="AA11" s="575"/>
      <c r="AB11" s="574"/>
      <c r="AC11" s="575"/>
      <c r="AD11" s="574"/>
      <c r="AE11" s="575"/>
      <c r="AF11" s="574"/>
      <c r="AG11" s="575"/>
      <c r="AH11" s="574"/>
      <c r="AI11" s="575"/>
      <c r="AJ11" s="574"/>
      <c r="AK11" s="575"/>
      <c r="AL11" s="574"/>
      <c r="AM11" s="575"/>
      <c r="AN11" s="574"/>
      <c r="AO11" s="575"/>
      <c r="AP11" s="574"/>
      <c r="AQ11" s="575"/>
      <c r="AR11" s="574"/>
      <c r="AS11" s="575"/>
      <c r="AT11" s="574"/>
      <c r="AU11" s="575"/>
      <c r="AV11" s="574"/>
      <c r="AW11" s="575"/>
      <c r="AX11" s="574"/>
      <c r="AY11" s="575"/>
      <c r="AZ11" s="574"/>
      <c r="BA11" s="575"/>
      <c r="BB11" s="576"/>
      <c r="BC11" s="549"/>
      <c r="BD11" s="539"/>
      <c r="BE11" s="568"/>
      <c r="BF11" s="569"/>
      <c r="BG11" s="570"/>
      <c r="BH11" s="568"/>
      <c r="BI11" s="569"/>
      <c r="BJ11" s="571"/>
      <c r="BK11" s="572"/>
      <c r="BL11" s="573"/>
      <c r="BM11" s="574"/>
      <c r="BN11" s="575"/>
      <c r="BO11" s="574"/>
      <c r="BP11" s="575"/>
      <c r="BQ11" s="574"/>
      <c r="BR11" s="575"/>
      <c r="BS11" s="574"/>
      <c r="BT11" s="575"/>
      <c r="BU11" s="574"/>
      <c r="BV11" s="575"/>
      <c r="BW11" s="574"/>
      <c r="BX11" s="575"/>
      <c r="BY11" s="574"/>
      <c r="BZ11" s="575"/>
      <c r="CA11" s="574"/>
      <c r="CB11" s="575"/>
      <c r="CC11" s="574"/>
      <c r="CD11" s="575"/>
      <c r="CE11" s="574"/>
      <c r="CF11" s="575"/>
      <c r="CG11" s="574"/>
      <c r="CH11" s="575"/>
      <c r="CI11" s="574"/>
      <c r="CJ11" s="575"/>
      <c r="CK11" s="574"/>
      <c r="CL11" s="575"/>
      <c r="CM11" s="574"/>
      <c r="CN11" s="575"/>
      <c r="CO11" s="574"/>
      <c r="CP11" s="575"/>
      <c r="CQ11" s="574"/>
      <c r="CR11" s="575"/>
      <c r="CS11" s="574"/>
      <c r="CT11" s="575"/>
      <c r="CU11" s="574"/>
      <c r="CV11" s="575"/>
      <c r="CW11" s="574"/>
      <c r="CX11" s="575"/>
      <c r="CY11" s="574"/>
      <c r="CZ11" s="575"/>
      <c r="DA11" s="574"/>
      <c r="DB11" s="575"/>
      <c r="DC11" s="574"/>
      <c r="DD11" s="575"/>
      <c r="DE11" s="576"/>
      <c r="DF11" s="549"/>
      <c r="DG11" s="539"/>
      <c r="DH11" s="568"/>
      <c r="DI11" s="569"/>
      <c r="DJ11" s="570"/>
      <c r="DK11" s="568"/>
      <c r="DL11" s="569"/>
      <c r="DM11" s="571"/>
      <c r="DN11" s="572"/>
      <c r="DO11" s="573"/>
      <c r="DP11" s="574"/>
      <c r="DQ11" s="575"/>
      <c r="DR11" s="574"/>
      <c r="DS11" s="575"/>
      <c r="DT11" s="574"/>
      <c r="DU11" s="575"/>
      <c r="DV11" s="574"/>
      <c r="DW11" s="575"/>
      <c r="DX11" s="574"/>
      <c r="DY11" s="575"/>
      <c r="DZ11" s="574"/>
      <c r="EA11" s="575"/>
      <c r="EB11" s="574"/>
      <c r="EC11" s="575"/>
      <c r="ED11" s="574"/>
      <c r="EE11" s="575"/>
      <c r="EF11" s="574"/>
      <c r="EG11" s="575"/>
      <c r="EH11" s="574"/>
      <c r="EI11" s="575"/>
      <c r="EJ11" s="574"/>
      <c r="EK11" s="575"/>
      <c r="EL11" s="574"/>
      <c r="EM11" s="575"/>
      <c r="EN11" s="574"/>
      <c r="EO11" s="575"/>
      <c r="EP11" s="574"/>
      <c r="EQ11" s="575"/>
      <c r="ER11" s="574"/>
      <c r="ES11" s="575"/>
      <c r="ET11" s="574"/>
      <c r="EU11" s="575"/>
      <c r="EV11" s="574"/>
      <c r="EW11" s="575"/>
      <c r="EX11" s="574"/>
      <c r="EY11" s="575"/>
      <c r="EZ11" s="574"/>
      <c r="FA11" s="575"/>
      <c r="FB11" s="574"/>
      <c r="FC11" s="575"/>
      <c r="FD11" s="574"/>
      <c r="FE11" s="575"/>
      <c r="FF11" s="574"/>
      <c r="FG11" s="575"/>
      <c r="FH11" s="576"/>
      <c r="FI11" s="550"/>
      <c r="FJ11" s="551"/>
      <c r="FK11" s="568"/>
      <c r="FL11" s="569"/>
      <c r="FM11" s="570"/>
      <c r="FN11" s="568"/>
      <c r="FO11" s="569"/>
      <c r="FP11" s="577"/>
      <c r="FQ11" s="573"/>
      <c r="FR11" s="572" t="s">
        <v>695</v>
      </c>
      <c r="FS11" s="578"/>
      <c r="FT11" s="573"/>
      <c r="FU11" s="579" t="s">
        <v>695</v>
      </c>
      <c r="FV11" s="580"/>
      <c r="FW11" s="581"/>
      <c r="FX11" s="582"/>
      <c r="FY11" s="583"/>
      <c r="FZ11" s="584"/>
      <c r="GA11" s="585"/>
      <c r="GB11" s="586"/>
      <c r="GC11" s="587"/>
      <c r="GD11" s="586"/>
      <c r="GE11" s="588"/>
      <c r="GF11" s="486"/>
      <c r="GG11" s="589"/>
      <c r="GH11" s="589"/>
      <c r="GI11" s="589"/>
      <c r="GJ11" s="516"/>
      <c r="GK11" s="567" t="s">
        <v>421</v>
      </c>
      <c r="GL11" s="404"/>
      <c r="GM11" s="470"/>
      <c r="GN11" s="473"/>
      <c r="GO11" s="470"/>
      <c r="GP11" s="404"/>
      <c r="GQ11" s="516"/>
      <c r="GR11" s="516"/>
      <c r="GS11" s="516"/>
      <c r="GT11" s="535"/>
      <c r="GU11" s="567" t="s">
        <v>422</v>
      </c>
      <c r="GV11" s="404"/>
      <c r="GW11" s="470"/>
      <c r="GX11" s="473"/>
      <c r="GY11" s="470"/>
      <c r="GZ11" s="404"/>
      <c r="HA11" s="517"/>
      <c r="HB11" s="517"/>
      <c r="HC11" s="400"/>
      <c r="HD11" s="782"/>
      <c r="HE11" s="428"/>
      <c r="HF11" s="1479"/>
      <c r="HG11" s="1479"/>
    </row>
    <row r="12" spans="1:353" ht="20.100000000000001" customHeight="1">
      <c r="A12" s="539"/>
      <c r="B12" s="568"/>
      <c r="C12" s="569"/>
      <c r="D12" s="570"/>
      <c r="E12" s="568"/>
      <c r="F12" s="569"/>
      <c r="G12" s="571"/>
      <c r="H12" s="572"/>
      <c r="I12" s="573"/>
      <c r="J12" s="574"/>
      <c r="K12" s="575"/>
      <c r="L12" s="574"/>
      <c r="M12" s="575"/>
      <c r="N12" s="574"/>
      <c r="O12" s="575"/>
      <c r="P12" s="574"/>
      <c r="Q12" s="575"/>
      <c r="R12" s="574"/>
      <c r="S12" s="575"/>
      <c r="T12" s="574"/>
      <c r="U12" s="575"/>
      <c r="V12" s="574"/>
      <c r="W12" s="575"/>
      <c r="X12" s="574"/>
      <c r="Y12" s="575"/>
      <c r="Z12" s="574"/>
      <c r="AA12" s="575"/>
      <c r="AB12" s="574"/>
      <c r="AC12" s="575"/>
      <c r="AD12" s="574"/>
      <c r="AE12" s="575"/>
      <c r="AF12" s="574"/>
      <c r="AG12" s="575"/>
      <c r="AH12" s="574"/>
      <c r="AI12" s="575"/>
      <c r="AJ12" s="574"/>
      <c r="AK12" s="575"/>
      <c r="AL12" s="574"/>
      <c r="AM12" s="575"/>
      <c r="AN12" s="574"/>
      <c r="AO12" s="575"/>
      <c r="AP12" s="574"/>
      <c r="AQ12" s="575"/>
      <c r="AR12" s="574"/>
      <c r="AS12" s="575"/>
      <c r="AT12" s="574"/>
      <c r="AU12" s="575"/>
      <c r="AV12" s="574"/>
      <c r="AW12" s="575"/>
      <c r="AX12" s="574"/>
      <c r="AY12" s="575"/>
      <c r="AZ12" s="574"/>
      <c r="BA12" s="575"/>
      <c r="BB12" s="576"/>
      <c r="BC12" s="549"/>
      <c r="BD12" s="539"/>
      <c r="BE12" s="568"/>
      <c r="BF12" s="569"/>
      <c r="BG12" s="570"/>
      <c r="BH12" s="568"/>
      <c r="BI12" s="569"/>
      <c r="BJ12" s="571"/>
      <c r="BK12" s="572"/>
      <c r="BL12" s="573"/>
      <c r="BM12" s="574"/>
      <c r="BN12" s="575"/>
      <c r="BO12" s="574"/>
      <c r="BP12" s="575"/>
      <c r="BQ12" s="574"/>
      <c r="BR12" s="575"/>
      <c r="BS12" s="574"/>
      <c r="BT12" s="575"/>
      <c r="BU12" s="574"/>
      <c r="BV12" s="575"/>
      <c r="BW12" s="574"/>
      <c r="BX12" s="575"/>
      <c r="BY12" s="574"/>
      <c r="BZ12" s="575"/>
      <c r="CA12" s="574"/>
      <c r="CB12" s="575"/>
      <c r="CC12" s="574"/>
      <c r="CD12" s="575"/>
      <c r="CE12" s="574"/>
      <c r="CF12" s="575"/>
      <c r="CG12" s="574"/>
      <c r="CH12" s="575"/>
      <c r="CI12" s="574"/>
      <c r="CJ12" s="575"/>
      <c r="CK12" s="574"/>
      <c r="CL12" s="575"/>
      <c r="CM12" s="574"/>
      <c r="CN12" s="575"/>
      <c r="CO12" s="574"/>
      <c r="CP12" s="575"/>
      <c r="CQ12" s="574"/>
      <c r="CR12" s="575"/>
      <c r="CS12" s="574"/>
      <c r="CT12" s="575"/>
      <c r="CU12" s="574"/>
      <c r="CV12" s="575"/>
      <c r="CW12" s="574"/>
      <c r="CX12" s="575"/>
      <c r="CY12" s="574"/>
      <c r="CZ12" s="575"/>
      <c r="DA12" s="574"/>
      <c r="DB12" s="575"/>
      <c r="DC12" s="574"/>
      <c r="DD12" s="575"/>
      <c r="DE12" s="576"/>
      <c r="DF12" s="549"/>
      <c r="DG12" s="539"/>
      <c r="DH12" s="568"/>
      <c r="DI12" s="569"/>
      <c r="DJ12" s="570"/>
      <c r="DK12" s="568"/>
      <c r="DL12" s="569"/>
      <c r="DM12" s="571"/>
      <c r="DN12" s="572"/>
      <c r="DO12" s="573"/>
      <c r="DP12" s="574"/>
      <c r="DQ12" s="575"/>
      <c r="DR12" s="574"/>
      <c r="DS12" s="575"/>
      <c r="DT12" s="574"/>
      <c r="DU12" s="575"/>
      <c r="DV12" s="574"/>
      <c r="DW12" s="575"/>
      <c r="DX12" s="574"/>
      <c r="DY12" s="575"/>
      <c r="DZ12" s="574"/>
      <c r="EA12" s="575"/>
      <c r="EB12" s="574"/>
      <c r="EC12" s="575"/>
      <c r="ED12" s="574"/>
      <c r="EE12" s="575"/>
      <c r="EF12" s="574"/>
      <c r="EG12" s="575"/>
      <c r="EH12" s="574"/>
      <c r="EI12" s="575"/>
      <c r="EJ12" s="574"/>
      <c r="EK12" s="575"/>
      <c r="EL12" s="574"/>
      <c r="EM12" s="575"/>
      <c r="EN12" s="574"/>
      <c r="EO12" s="575"/>
      <c r="EP12" s="574"/>
      <c r="EQ12" s="575"/>
      <c r="ER12" s="574"/>
      <c r="ES12" s="575"/>
      <c r="ET12" s="574"/>
      <c r="EU12" s="575"/>
      <c r="EV12" s="574"/>
      <c r="EW12" s="575"/>
      <c r="EX12" s="574"/>
      <c r="EY12" s="575"/>
      <c r="EZ12" s="574"/>
      <c r="FA12" s="575"/>
      <c r="FB12" s="574"/>
      <c r="FC12" s="575"/>
      <c r="FD12" s="574"/>
      <c r="FE12" s="575"/>
      <c r="FF12" s="574"/>
      <c r="FG12" s="575"/>
      <c r="FH12" s="576"/>
      <c r="FI12" s="550"/>
      <c r="FJ12" s="551"/>
      <c r="FK12" s="568"/>
      <c r="FL12" s="569"/>
      <c r="FM12" s="570"/>
      <c r="FN12" s="568"/>
      <c r="FO12" s="569"/>
      <c r="FP12" s="577"/>
      <c r="FQ12" s="573"/>
      <c r="FR12" s="572" t="s">
        <v>494</v>
      </c>
      <c r="FS12" s="578"/>
      <c r="FT12" s="573"/>
      <c r="FU12" s="579" t="s">
        <v>695</v>
      </c>
      <c r="FV12" s="580"/>
      <c r="FW12" s="581"/>
      <c r="FX12" s="582"/>
      <c r="FY12" s="583"/>
      <c r="FZ12" s="584"/>
      <c r="GA12" s="585"/>
      <c r="GB12" s="586"/>
      <c r="GC12" s="587"/>
      <c r="GD12" s="586"/>
      <c r="GE12" s="588"/>
      <c r="GF12" s="486"/>
      <c r="GG12" s="589"/>
      <c r="GH12" s="589"/>
      <c r="GI12" s="589"/>
      <c r="GJ12" s="404"/>
      <c r="GK12" s="590" t="s">
        <v>341</v>
      </c>
      <c r="GL12" s="591"/>
      <c r="GM12" s="592" t="s">
        <v>423</v>
      </c>
      <c r="GN12" s="593" t="s">
        <v>424</v>
      </c>
      <c r="GO12" s="594" t="s">
        <v>425</v>
      </c>
      <c r="GP12" s="595" t="s">
        <v>426</v>
      </c>
      <c r="GQ12" s="594" t="s">
        <v>427</v>
      </c>
      <c r="GR12" s="594" t="s">
        <v>428</v>
      </c>
      <c r="GS12" s="596"/>
      <c r="GT12" s="535"/>
      <c r="GU12" s="590" t="s">
        <v>341</v>
      </c>
      <c r="GV12" s="591"/>
      <c r="GW12" s="592" t="s">
        <v>423</v>
      </c>
      <c r="GX12" s="597" t="s">
        <v>429</v>
      </c>
      <c r="GY12" s="598"/>
      <c r="GZ12" s="599" t="s">
        <v>425</v>
      </c>
      <c r="HA12" s="600" t="s">
        <v>430</v>
      </c>
      <c r="HB12" s="601"/>
      <c r="HC12" s="602"/>
      <c r="HD12" s="782"/>
      <c r="HE12" s="428"/>
      <c r="HF12" s="1479"/>
      <c r="HG12" s="1479"/>
    </row>
    <row r="13" spans="1:353" ht="20.100000000000001" customHeight="1">
      <c r="A13" s="539"/>
      <c r="B13" s="603"/>
      <c r="C13" s="604"/>
      <c r="D13" s="605"/>
      <c r="E13" s="603"/>
      <c r="F13" s="604"/>
      <c r="G13" s="606"/>
      <c r="H13" s="607"/>
      <c r="I13" s="608"/>
      <c r="J13" s="609"/>
      <c r="K13" s="610"/>
      <c r="L13" s="609"/>
      <c r="M13" s="610"/>
      <c r="N13" s="609"/>
      <c r="O13" s="610"/>
      <c r="P13" s="609"/>
      <c r="Q13" s="610"/>
      <c r="R13" s="609"/>
      <c r="S13" s="610"/>
      <c r="T13" s="609"/>
      <c r="U13" s="610"/>
      <c r="V13" s="609"/>
      <c r="W13" s="610"/>
      <c r="X13" s="609"/>
      <c r="Y13" s="610"/>
      <c r="Z13" s="609"/>
      <c r="AA13" s="610"/>
      <c r="AB13" s="609"/>
      <c r="AC13" s="610"/>
      <c r="AD13" s="609"/>
      <c r="AE13" s="610"/>
      <c r="AF13" s="609"/>
      <c r="AG13" s="610"/>
      <c r="AH13" s="609"/>
      <c r="AI13" s="610"/>
      <c r="AJ13" s="609"/>
      <c r="AK13" s="610"/>
      <c r="AL13" s="609"/>
      <c r="AM13" s="610"/>
      <c r="AN13" s="609"/>
      <c r="AO13" s="610"/>
      <c r="AP13" s="609"/>
      <c r="AQ13" s="610"/>
      <c r="AR13" s="609"/>
      <c r="AS13" s="610"/>
      <c r="AT13" s="609"/>
      <c r="AU13" s="610"/>
      <c r="AV13" s="609"/>
      <c r="AW13" s="610"/>
      <c r="AX13" s="609"/>
      <c r="AY13" s="610"/>
      <c r="AZ13" s="609"/>
      <c r="BA13" s="610"/>
      <c r="BB13" s="611"/>
      <c r="BC13" s="549"/>
      <c r="BD13" s="539"/>
      <c r="BE13" s="603"/>
      <c r="BF13" s="604"/>
      <c r="BG13" s="605"/>
      <c r="BH13" s="603"/>
      <c r="BI13" s="604"/>
      <c r="BJ13" s="606"/>
      <c r="BK13" s="607"/>
      <c r="BL13" s="608"/>
      <c r="BM13" s="609"/>
      <c r="BN13" s="610"/>
      <c r="BO13" s="609"/>
      <c r="BP13" s="610"/>
      <c r="BQ13" s="609"/>
      <c r="BR13" s="610"/>
      <c r="BS13" s="609"/>
      <c r="BT13" s="610"/>
      <c r="BU13" s="609"/>
      <c r="BV13" s="610"/>
      <c r="BW13" s="609"/>
      <c r="BX13" s="610"/>
      <c r="BY13" s="609"/>
      <c r="BZ13" s="610"/>
      <c r="CA13" s="609"/>
      <c r="CB13" s="610"/>
      <c r="CC13" s="609"/>
      <c r="CD13" s="610"/>
      <c r="CE13" s="609"/>
      <c r="CF13" s="610"/>
      <c r="CG13" s="609"/>
      <c r="CH13" s="610"/>
      <c r="CI13" s="609"/>
      <c r="CJ13" s="610"/>
      <c r="CK13" s="609"/>
      <c r="CL13" s="610"/>
      <c r="CM13" s="609"/>
      <c r="CN13" s="610"/>
      <c r="CO13" s="609"/>
      <c r="CP13" s="610"/>
      <c r="CQ13" s="609"/>
      <c r="CR13" s="610"/>
      <c r="CS13" s="609"/>
      <c r="CT13" s="610"/>
      <c r="CU13" s="609"/>
      <c r="CV13" s="610"/>
      <c r="CW13" s="609"/>
      <c r="CX13" s="610"/>
      <c r="CY13" s="609"/>
      <c r="CZ13" s="610"/>
      <c r="DA13" s="609"/>
      <c r="DB13" s="610"/>
      <c r="DC13" s="609"/>
      <c r="DD13" s="610"/>
      <c r="DE13" s="611"/>
      <c r="DF13" s="549"/>
      <c r="DG13" s="539"/>
      <c r="DH13" s="603"/>
      <c r="DI13" s="604"/>
      <c r="DJ13" s="605"/>
      <c r="DK13" s="603"/>
      <c r="DL13" s="604"/>
      <c r="DM13" s="606"/>
      <c r="DN13" s="607"/>
      <c r="DO13" s="608"/>
      <c r="DP13" s="609"/>
      <c r="DQ13" s="610"/>
      <c r="DR13" s="609"/>
      <c r="DS13" s="610"/>
      <c r="DT13" s="609"/>
      <c r="DU13" s="610"/>
      <c r="DV13" s="609"/>
      <c r="DW13" s="610"/>
      <c r="DX13" s="609"/>
      <c r="DY13" s="610"/>
      <c r="DZ13" s="609"/>
      <c r="EA13" s="610"/>
      <c r="EB13" s="609"/>
      <c r="EC13" s="610"/>
      <c r="ED13" s="609"/>
      <c r="EE13" s="610"/>
      <c r="EF13" s="609"/>
      <c r="EG13" s="610"/>
      <c r="EH13" s="609"/>
      <c r="EI13" s="610"/>
      <c r="EJ13" s="609"/>
      <c r="EK13" s="610"/>
      <c r="EL13" s="609"/>
      <c r="EM13" s="610"/>
      <c r="EN13" s="609"/>
      <c r="EO13" s="610"/>
      <c r="EP13" s="609"/>
      <c r="EQ13" s="610"/>
      <c r="ER13" s="609"/>
      <c r="ES13" s="610"/>
      <c r="ET13" s="609"/>
      <c r="EU13" s="610"/>
      <c r="EV13" s="609"/>
      <c r="EW13" s="610"/>
      <c r="EX13" s="609"/>
      <c r="EY13" s="610"/>
      <c r="EZ13" s="609"/>
      <c r="FA13" s="610"/>
      <c r="FB13" s="609"/>
      <c r="FC13" s="610"/>
      <c r="FD13" s="609"/>
      <c r="FE13" s="610"/>
      <c r="FF13" s="609"/>
      <c r="FG13" s="610"/>
      <c r="FH13" s="611"/>
      <c r="FI13" s="550"/>
      <c r="FJ13" s="551"/>
      <c r="FK13" s="603"/>
      <c r="FL13" s="604"/>
      <c r="FM13" s="605"/>
      <c r="FN13" s="603"/>
      <c r="FO13" s="604"/>
      <c r="FP13" s="612"/>
      <c r="FQ13" s="608"/>
      <c r="FR13" s="607" t="s">
        <v>494</v>
      </c>
      <c r="FS13" s="613"/>
      <c r="FT13" s="608"/>
      <c r="FU13" s="614" t="s">
        <v>695</v>
      </c>
      <c r="FV13" s="580"/>
      <c r="FW13" s="581"/>
      <c r="FX13" s="582"/>
      <c r="FY13" s="583"/>
      <c r="FZ13" s="584"/>
      <c r="GA13" s="585"/>
      <c r="GB13" s="586"/>
      <c r="GC13" s="587"/>
      <c r="GD13" s="586"/>
      <c r="GE13" s="588"/>
      <c r="GF13" s="486"/>
      <c r="GG13" s="589"/>
      <c r="GH13" s="589"/>
      <c r="GI13" s="589"/>
      <c r="GJ13" s="404"/>
      <c r="GK13" s="615"/>
      <c r="GL13" s="616"/>
      <c r="GM13" s="617"/>
      <c r="GN13" s="618"/>
      <c r="GO13" s="619"/>
      <c r="GP13" s="619"/>
      <c r="GQ13" s="620">
        <v>0</v>
      </c>
      <c r="GR13" s="621">
        <v>0</v>
      </c>
      <c r="GS13" s="565"/>
      <c r="GT13" s="404"/>
      <c r="GU13" s="615"/>
      <c r="GV13" s="616"/>
      <c r="GW13" s="622"/>
      <c r="GX13" s="623"/>
      <c r="GY13" s="624"/>
      <c r="GZ13" s="625"/>
      <c r="HA13" s="626">
        <v>0</v>
      </c>
      <c r="HB13" s="627"/>
      <c r="HC13" s="517"/>
      <c r="HD13" s="782"/>
      <c r="HE13" s="428"/>
      <c r="HF13" s="377"/>
      <c r="HG13" s="377"/>
    </row>
    <row r="14" spans="1:353" ht="20.100000000000001" customHeight="1">
      <c r="A14" s="628"/>
      <c r="B14" s="629"/>
      <c r="C14" s="629"/>
      <c r="D14" s="630" t="s">
        <v>696</v>
      </c>
      <c r="E14" s="629"/>
      <c r="F14" s="629"/>
      <c r="G14" s="1263"/>
      <c r="H14" s="1264">
        <f>SUM(H10:H13)</f>
        <v>0</v>
      </c>
      <c r="I14" s="1271"/>
      <c r="J14" s="1264">
        <f>SUM(J10:J13)</f>
        <v>0</v>
      </c>
      <c r="K14" s="1271"/>
      <c r="L14" s="1264">
        <f>SUM(L10:L13)</f>
        <v>0</v>
      </c>
      <c r="M14" s="1271"/>
      <c r="N14" s="1264">
        <f>SUM(N10:N13)</f>
        <v>0</v>
      </c>
      <c r="O14" s="1271"/>
      <c r="P14" s="1264">
        <f>SUM(P10:P13)</f>
        <v>0</v>
      </c>
      <c r="Q14" s="1271"/>
      <c r="R14" s="1264">
        <f>SUM(R10:R13)</f>
        <v>0</v>
      </c>
      <c r="S14" s="1271"/>
      <c r="T14" s="1264">
        <f>SUM(T10:T13)</f>
        <v>0</v>
      </c>
      <c r="U14" s="1271"/>
      <c r="V14" s="1264">
        <f>SUM(V10:V13)</f>
        <v>0</v>
      </c>
      <c r="W14" s="1271"/>
      <c r="X14" s="1264">
        <f>SUM(X10:X13)</f>
        <v>0</v>
      </c>
      <c r="Y14" s="1271"/>
      <c r="Z14" s="1264">
        <f>SUM(Z10:Z13)</f>
        <v>0</v>
      </c>
      <c r="AA14" s="1271"/>
      <c r="AB14" s="1264">
        <f>SUM(AB10:AB13)</f>
        <v>0</v>
      </c>
      <c r="AC14" s="1271"/>
      <c r="AD14" s="1264">
        <f>SUM(AD10:AD13)</f>
        <v>0</v>
      </c>
      <c r="AE14" s="1271"/>
      <c r="AF14" s="1264">
        <f>SUM(AF10:AF13)</f>
        <v>0</v>
      </c>
      <c r="AG14" s="1271"/>
      <c r="AH14" s="1264">
        <f>SUM(AH10:AH13)</f>
        <v>0</v>
      </c>
      <c r="AI14" s="1271"/>
      <c r="AJ14" s="1264">
        <f>SUM(AJ10:AJ13)</f>
        <v>0</v>
      </c>
      <c r="AK14" s="1271"/>
      <c r="AL14" s="1264">
        <f>SUM(AL10:AL13)</f>
        <v>0</v>
      </c>
      <c r="AM14" s="1271"/>
      <c r="AN14" s="1264">
        <f>SUM(AN10:AN13)</f>
        <v>0</v>
      </c>
      <c r="AO14" s="1271"/>
      <c r="AP14" s="1264">
        <f>SUM(AP10:AP13)</f>
        <v>0</v>
      </c>
      <c r="AQ14" s="1271"/>
      <c r="AR14" s="1264">
        <f>SUM(AR10:AR13)</f>
        <v>0</v>
      </c>
      <c r="AS14" s="1271"/>
      <c r="AT14" s="1264">
        <f>SUM(AT10:AT13)</f>
        <v>0</v>
      </c>
      <c r="AU14" s="1271"/>
      <c r="AV14" s="1264">
        <f>SUM(AV10:AV13)</f>
        <v>0</v>
      </c>
      <c r="AW14" s="1271"/>
      <c r="AX14" s="1264">
        <f>SUM(AX10:AX13)</f>
        <v>0</v>
      </c>
      <c r="AY14" s="1271"/>
      <c r="AZ14" s="1264">
        <f>SUM(AZ10:AZ13)</f>
        <v>0</v>
      </c>
      <c r="BA14" s="1271"/>
      <c r="BB14" s="1266">
        <f>SUM(BB10:BB13)</f>
        <v>0</v>
      </c>
      <c r="BC14" s="635"/>
      <c r="BD14" s="628"/>
      <c r="BE14" s="629"/>
      <c r="BF14" s="629"/>
      <c r="BG14" s="630" t="s">
        <v>697</v>
      </c>
      <c r="BH14" s="629"/>
      <c r="BI14" s="629"/>
      <c r="BJ14" s="1263"/>
      <c r="BK14" s="1264">
        <f>SUM(BK10:BK13)</f>
        <v>0</v>
      </c>
      <c r="BL14" s="1271"/>
      <c r="BM14" s="1264">
        <f>SUM(BM10:BM13)</f>
        <v>0</v>
      </c>
      <c r="BN14" s="1271"/>
      <c r="BO14" s="1264">
        <f>SUM(BO10:BO13)</f>
        <v>0</v>
      </c>
      <c r="BP14" s="1271"/>
      <c r="BQ14" s="1264">
        <f>SUM(BQ10:BQ13)</f>
        <v>0</v>
      </c>
      <c r="BR14" s="1271"/>
      <c r="BS14" s="1264">
        <f>SUM(BS10:BS13)</f>
        <v>0</v>
      </c>
      <c r="BT14" s="1271"/>
      <c r="BU14" s="1264">
        <f>SUM(BU10:BU13)</f>
        <v>0</v>
      </c>
      <c r="BV14" s="1271"/>
      <c r="BW14" s="1264">
        <f>SUM(BW10:BW13)</f>
        <v>0</v>
      </c>
      <c r="BX14" s="1271"/>
      <c r="BY14" s="1264">
        <f>SUM(BY10:BY13)</f>
        <v>0</v>
      </c>
      <c r="BZ14" s="1271"/>
      <c r="CA14" s="1264">
        <f>SUM(CA10:CA13)</f>
        <v>0</v>
      </c>
      <c r="CB14" s="1271"/>
      <c r="CC14" s="1264">
        <f>SUM(CC10:CC13)</f>
        <v>0</v>
      </c>
      <c r="CD14" s="1271"/>
      <c r="CE14" s="1264">
        <f>SUM(CE10:CE13)</f>
        <v>0</v>
      </c>
      <c r="CF14" s="1271"/>
      <c r="CG14" s="1264">
        <f>SUM(CG10:CG13)</f>
        <v>0</v>
      </c>
      <c r="CH14" s="1271"/>
      <c r="CI14" s="1264">
        <f>SUM(CI10:CI13)</f>
        <v>0</v>
      </c>
      <c r="CJ14" s="1271"/>
      <c r="CK14" s="1264">
        <f>SUM(CK10:CK13)</f>
        <v>0</v>
      </c>
      <c r="CL14" s="1271"/>
      <c r="CM14" s="1264">
        <f>SUM(CM10:CM13)</f>
        <v>0</v>
      </c>
      <c r="CN14" s="1271"/>
      <c r="CO14" s="1264">
        <f>SUM(CO10:CO13)</f>
        <v>0</v>
      </c>
      <c r="CP14" s="1271"/>
      <c r="CQ14" s="1264">
        <f>SUM(CQ10:CQ13)</f>
        <v>0</v>
      </c>
      <c r="CR14" s="1271"/>
      <c r="CS14" s="1264">
        <f>SUM(CS10:CS13)</f>
        <v>0</v>
      </c>
      <c r="CT14" s="1271"/>
      <c r="CU14" s="1264">
        <f>SUM(CU10:CU13)</f>
        <v>0</v>
      </c>
      <c r="CV14" s="1271"/>
      <c r="CW14" s="1264">
        <f>SUM(CW10:CW13)</f>
        <v>0</v>
      </c>
      <c r="CX14" s="1271"/>
      <c r="CY14" s="1264">
        <f>SUM(CY10:CY13)</f>
        <v>0</v>
      </c>
      <c r="CZ14" s="1271"/>
      <c r="DA14" s="1264">
        <f>SUM(DA10:DA13)</f>
        <v>0</v>
      </c>
      <c r="DB14" s="1271"/>
      <c r="DC14" s="1264">
        <f>SUM(DC10:DC13)</f>
        <v>0</v>
      </c>
      <c r="DD14" s="1271"/>
      <c r="DE14" s="1266">
        <f>SUM(DE10:DE13)</f>
        <v>0</v>
      </c>
      <c r="DF14" s="635"/>
      <c r="DG14" s="628"/>
      <c r="DH14" s="629"/>
      <c r="DI14" s="629"/>
      <c r="DJ14" s="630" t="s">
        <v>697</v>
      </c>
      <c r="DK14" s="629"/>
      <c r="DL14" s="629"/>
      <c r="DM14" s="1263"/>
      <c r="DN14" s="1264">
        <f>SUM(DN10:DN13)</f>
        <v>0</v>
      </c>
      <c r="DO14" s="1271"/>
      <c r="DP14" s="1264">
        <f>SUM(DP10:DP13)</f>
        <v>0</v>
      </c>
      <c r="DQ14" s="1271"/>
      <c r="DR14" s="1264">
        <f>SUM(DR10:DR13)</f>
        <v>0</v>
      </c>
      <c r="DS14" s="1271"/>
      <c r="DT14" s="1264">
        <f>SUM(DT10:DT13)</f>
        <v>0</v>
      </c>
      <c r="DU14" s="1271"/>
      <c r="DV14" s="1264">
        <f>SUM(DV10:DV13)</f>
        <v>0</v>
      </c>
      <c r="DW14" s="1271"/>
      <c r="DX14" s="1264">
        <f>SUM(DX10:DX13)</f>
        <v>0</v>
      </c>
      <c r="DY14" s="1271"/>
      <c r="DZ14" s="1264">
        <f>SUM(DZ10:DZ13)</f>
        <v>0</v>
      </c>
      <c r="EA14" s="1271"/>
      <c r="EB14" s="1264">
        <f>SUM(EB10:EB13)</f>
        <v>0</v>
      </c>
      <c r="EC14" s="1271"/>
      <c r="ED14" s="1264">
        <f>SUM(ED10:ED13)</f>
        <v>0</v>
      </c>
      <c r="EE14" s="1271"/>
      <c r="EF14" s="1264">
        <f>SUM(EF10:EF13)</f>
        <v>0</v>
      </c>
      <c r="EG14" s="1271"/>
      <c r="EH14" s="1264">
        <f>SUM(EH10:EH13)</f>
        <v>0</v>
      </c>
      <c r="EI14" s="1271"/>
      <c r="EJ14" s="1264">
        <f>SUM(EJ10:EJ13)</f>
        <v>0</v>
      </c>
      <c r="EK14" s="1271"/>
      <c r="EL14" s="1264">
        <f>SUM(EL10:EL13)</f>
        <v>0</v>
      </c>
      <c r="EM14" s="1271"/>
      <c r="EN14" s="1264">
        <f>SUM(EN10:EN13)</f>
        <v>0</v>
      </c>
      <c r="EO14" s="1271"/>
      <c r="EP14" s="1264">
        <f>SUM(EP10:EP13)</f>
        <v>0</v>
      </c>
      <c r="EQ14" s="1271"/>
      <c r="ER14" s="1264">
        <f>SUM(ER10:ER13)</f>
        <v>0</v>
      </c>
      <c r="ES14" s="1271"/>
      <c r="ET14" s="1264">
        <f>SUM(ET10:ET13)</f>
        <v>0</v>
      </c>
      <c r="EU14" s="1271"/>
      <c r="EV14" s="1264">
        <f>SUM(EV10:EV13)</f>
        <v>0</v>
      </c>
      <c r="EW14" s="1271"/>
      <c r="EX14" s="1264">
        <f>SUM(EX10:EX13)</f>
        <v>0</v>
      </c>
      <c r="EY14" s="1271"/>
      <c r="EZ14" s="1264">
        <f>SUM(EZ10:EZ13)</f>
        <v>0</v>
      </c>
      <c r="FA14" s="1271"/>
      <c r="FB14" s="1264">
        <f>SUM(FB10:FB13)</f>
        <v>0</v>
      </c>
      <c r="FC14" s="1271"/>
      <c r="FD14" s="1264">
        <f>SUM(FD10:FD13)</f>
        <v>0</v>
      </c>
      <c r="FE14" s="1271"/>
      <c r="FF14" s="1264">
        <f>SUM(FF10:FF13)</f>
        <v>0</v>
      </c>
      <c r="FG14" s="1271"/>
      <c r="FH14" s="1266">
        <f>SUM(FH10:FH13)</f>
        <v>0</v>
      </c>
      <c r="FI14" s="636"/>
      <c r="FJ14" s="551"/>
      <c r="FK14" s="629"/>
      <c r="FL14" s="629"/>
      <c r="FM14" s="630" t="s">
        <v>697</v>
      </c>
      <c r="FN14" s="629"/>
      <c r="FO14" s="629"/>
      <c r="FP14" s="1267"/>
      <c r="FQ14" s="638"/>
      <c r="FR14" s="1264">
        <f>SUM(FR10:FR13)</f>
        <v>0</v>
      </c>
      <c r="FS14" s="1268"/>
      <c r="FT14" s="638"/>
      <c r="FU14" s="1269">
        <f>SUM(FU10:FU13)</f>
        <v>0</v>
      </c>
      <c r="FV14" s="580"/>
      <c r="FW14" s="581"/>
      <c r="FX14" s="582"/>
      <c r="FY14" s="583"/>
      <c r="FZ14" s="584"/>
      <c r="GA14" s="585"/>
      <c r="GB14" s="586"/>
      <c r="GC14" s="587"/>
      <c r="GD14" s="586"/>
      <c r="GE14" s="588"/>
      <c r="GF14" s="641"/>
      <c r="GG14" s="642"/>
      <c r="GH14" s="642"/>
      <c r="GI14" s="642"/>
      <c r="GJ14" s="602"/>
      <c r="GK14" s="615"/>
      <c r="GL14" s="616"/>
      <c r="GM14" s="617"/>
      <c r="GN14" s="618"/>
      <c r="GO14" s="619"/>
      <c r="GP14" s="643"/>
      <c r="GQ14" s="620">
        <v>0</v>
      </c>
      <c r="GR14" s="621">
        <v>0</v>
      </c>
      <c r="GS14" s="602"/>
      <c r="GT14" s="644"/>
      <c r="GU14" s="615"/>
      <c r="GV14" s="616"/>
      <c r="GW14" s="622"/>
      <c r="GX14" s="623"/>
      <c r="GY14" s="624"/>
      <c r="GZ14" s="625"/>
      <c r="HA14" s="626">
        <v>0</v>
      </c>
      <c r="HB14" s="627"/>
      <c r="HC14" s="517"/>
      <c r="HD14" s="1478"/>
      <c r="HE14" s="406"/>
      <c r="HF14" s="406"/>
      <c r="HG14" s="406"/>
    </row>
    <row r="15" spans="1:353" ht="24" customHeight="1">
      <c r="A15" s="519" t="s">
        <v>283</v>
      </c>
      <c r="B15" s="645" t="s">
        <v>261</v>
      </c>
      <c r="C15" s="646" t="s">
        <v>262</v>
      </c>
      <c r="D15" s="647" t="s">
        <v>698</v>
      </c>
      <c r="E15" s="647" t="s">
        <v>285</v>
      </c>
      <c r="F15" s="648" t="s">
        <v>104</v>
      </c>
      <c r="G15" s="649" t="s">
        <v>535</v>
      </c>
      <c r="H15" s="650" t="s">
        <v>502</v>
      </c>
      <c r="I15" s="651" t="s">
        <v>288</v>
      </c>
      <c r="J15" s="650" t="s">
        <v>699</v>
      </c>
      <c r="K15" s="651" t="s">
        <v>288</v>
      </c>
      <c r="L15" s="650" t="s">
        <v>699</v>
      </c>
      <c r="M15" s="651" t="s">
        <v>288</v>
      </c>
      <c r="N15" s="650" t="s">
        <v>699</v>
      </c>
      <c r="O15" s="651" t="s">
        <v>288</v>
      </c>
      <c r="P15" s="650" t="s">
        <v>699</v>
      </c>
      <c r="Q15" s="651" t="s">
        <v>288</v>
      </c>
      <c r="R15" s="650" t="s">
        <v>699</v>
      </c>
      <c r="S15" s="651" t="s">
        <v>288</v>
      </c>
      <c r="T15" s="650" t="s">
        <v>699</v>
      </c>
      <c r="U15" s="651" t="s">
        <v>288</v>
      </c>
      <c r="V15" s="650" t="s">
        <v>532</v>
      </c>
      <c r="W15" s="651" t="s">
        <v>288</v>
      </c>
      <c r="X15" s="650" t="s">
        <v>700</v>
      </c>
      <c r="Y15" s="651" t="s">
        <v>288</v>
      </c>
      <c r="Z15" s="650" t="s">
        <v>502</v>
      </c>
      <c r="AA15" s="651" t="s">
        <v>288</v>
      </c>
      <c r="AB15" s="650" t="s">
        <v>532</v>
      </c>
      <c r="AC15" s="651" t="s">
        <v>288</v>
      </c>
      <c r="AD15" s="650" t="s">
        <v>699</v>
      </c>
      <c r="AE15" s="651" t="s">
        <v>288</v>
      </c>
      <c r="AF15" s="650" t="s">
        <v>699</v>
      </c>
      <c r="AG15" s="651" t="s">
        <v>288</v>
      </c>
      <c r="AH15" s="650" t="s">
        <v>699</v>
      </c>
      <c r="AI15" s="651" t="s">
        <v>288</v>
      </c>
      <c r="AJ15" s="650" t="s">
        <v>532</v>
      </c>
      <c r="AK15" s="651" t="s">
        <v>288</v>
      </c>
      <c r="AL15" s="650" t="s">
        <v>532</v>
      </c>
      <c r="AM15" s="651" t="s">
        <v>288</v>
      </c>
      <c r="AN15" s="650" t="s">
        <v>700</v>
      </c>
      <c r="AO15" s="651" t="s">
        <v>288</v>
      </c>
      <c r="AP15" s="650" t="s">
        <v>502</v>
      </c>
      <c r="AQ15" s="651" t="s">
        <v>288</v>
      </c>
      <c r="AR15" s="650" t="s">
        <v>699</v>
      </c>
      <c r="AS15" s="651" t="s">
        <v>288</v>
      </c>
      <c r="AT15" s="650" t="s">
        <v>699</v>
      </c>
      <c r="AU15" s="651" t="s">
        <v>288</v>
      </c>
      <c r="AV15" s="650" t="s">
        <v>699</v>
      </c>
      <c r="AW15" s="651" t="s">
        <v>288</v>
      </c>
      <c r="AX15" s="650" t="s">
        <v>699</v>
      </c>
      <c r="AY15" s="651" t="s">
        <v>288</v>
      </c>
      <c r="AZ15" s="650" t="s">
        <v>699</v>
      </c>
      <c r="BA15" s="651" t="s">
        <v>288</v>
      </c>
      <c r="BB15" s="652" t="s">
        <v>291</v>
      </c>
      <c r="BC15" s="653"/>
      <c r="BD15" s="519" t="s">
        <v>283</v>
      </c>
      <c r="BE15" s="645" t="s">
        <v>261</v>
      </c>
      <c r="BF15" s="646" t="s">
        <v>262</v>
      </c>
      <c r="BG15" s="647" t="s">
        <v>691</v>
      </c>
      <c r="BH15" s="647" t="s">
        <v>285</v>
      </c>
      <c r="BI15" s="648" t="s">
        <v>104</v>
      </c>
      <c r="BJ15" s="649" t="s">
        <v>701</v>
      </c>
      <c r="BK15" s="650" t="s">
        <v>699</v>
      </c>
      <c r="BL15" s="651" t="s">
        <v>288</v>
      </c>
      <c r="BM15" s="650" t="s">
        <v>699</v>
      </c>
      <c r="BN15" s="651" t="s">
        <v>288</v>
      </c>
      <c r="BO15" s="650" t="s">
        <v>699</v>
      </c>
      <c r="BP15" s="651" t="s">
        <v>288</v>
      </c>
      <c r="BQ15" s="650" t="s">
        <v>502</v>
      </c>
      <c r="BR15" s="651" t="s">
        <v>288</v>
      </c>
      <c r="BS15" s="650" t="s">
        <v>699</v>
      </c>
      <c r="BT15" s="651" t="s">
        <v>288</v>
      </c>
      <c r="BU15" s="650" t="s">
        <v>532</v>
      </c>
      <c r="BV15" s="651" t="s">
        <v>288</v>
      </c>
      <c r="BW15" s="650" t="s">
        <v>699</v>
      </c>
      <c r="BX15" s="651" t="s">
        <v>288</v>
      </c>
      <c r="BY15" s="650" t="s">
        <v>699</v>
      </c>
      <c r="BZ15" s="651" t="s">
        <v>288</v>
      </c>
      <c r="CA15" s="650" t="s">
        <v>700</v>
      </c>
      <c r="CB15" s="651" t="s">
        <v>288</v>
      </c>
      <c r="CC15" s="650" t="s">
        <v>699</v>
      </c>
      <c r="CD15" s="651" t="s">
        <v>288</v>
      </c>
      <c r="CE15" s="650" t="s">
        <v>532</v>
      </c>
      <c r="CF15" s="651" t="s">
        <v>288</v>
      </c>
      <c r="CG15" s="650" t="s">
        <v>699</v>
      </c>
      <c r="CH15" s="651" t="s">
        <v>288</v>
      </c>
      <c r="CI15" s="650" t="s">
        <v>700</v>
      </c>
      <c r="CJ15" s="651" t="s">
        <v>288</v>
      </c>
      <c r="CK15" s="650" t="s">
        <v>699</v>
      </c>
      <c r="CL15" s="651" t="s">
        <v>288</v>
      </c>
      <c r="CM15" s="650" t="s">
        <v>502</v>
      </c>
      <c r="CN15" s="651" t="s">
        <v>288</v>
      </c>
      <c r="CO15" s="650" t="s">
        <v>502</v>
      </c>
      <c r="CP15" s="651" t="s">
        <v>288</v>
      </c>
      <c r="CQ15" s="650" t="s">
        <v>502</v>
      </c>
      <c r="CR15" s="651" t="s">
        <v>288</v>
      </c>
      <c r="CS15" s="650" t="s">
        <v>699</v>
      </c>
      <c r="CT15" s="651" t="s">
        <v>288</v>
      </c>
      <c r="CU15" s="650" t="s">
        <v>699</v>
      </c>
      <c r="CV15" s="651" t="s">
        <v>288</v>
      </c>
      <c r="CW15" s="650" t="s">
        <v>699</v>
      </c>
      <c r="CX15" s="651" t="s">
        <v>288</v>
      </c>
      <c r="CY15" s="650" t="s">
        <v>502</v>
      </c>
      <c r="CZ15" s="651" t="s">
        <v>288</v>
      </c>
      <c r="DA15" s="650" t="s">
        <v>502</v>
      </c>
      <c r="DB15" s="651" t="s">
        <v>288</v>
      </c>
      <c r="DC15" s="650" t="s">
        <v>699</v>
      </c>
      <c r="DD15" s="651" t="s">
        <v>288</v>
      </c>
      <c r="DE15" s="652" t="s">
        <v>291</v>
      </c>
      <c r="DF15" s="653"/>
      <c r="DG15" s="519" t="s">
        <v>283</v>
      </c>
      <c r="DH15" s="645" t="s">
        <v>261</v>
      </c>
      <c r="DI15" s="646" t="s">
        <v>262</v>
      </c>
      <c r="DJ15" s="647" t="s">
        <v>691</v>
      </c>
      <c r="DK15" s="647" t="s">
        <v>285</v>
      </c>
      <c r="DL15" s="648" t="s">
        <v>104</v>
      </c>
      <c r="DM15" s="649" t="s">
        <v>503</v>
      </c>
      <c r="DN15" s="650" t="s">
        <v>699</v>
      </c>
      <c r="DO15" s="651" t="s">
        <v>288</v>
      </c>
      <c r="DP15" s="650" t="s">
        <v>699</v>
      </c>
      <c r="DQ15" s="651" t="s">
        <v>288</v>
      </c>
      <c r="DR15" s="650" t="s">
        <v>699</v>
      </c>
      <c r="DS15" s="651" t="s">
        <v>288</v>
      </c>
      <c r="DT15" s="650" t="s">
        <v>532</v>
      </c>
      <c r="DU15" s="651" t="s">
        <v>288</v>
      </c>
      <c r="DV15" s="650" t="s">
        <v>532</v>
      </c>
      <c r="DW15" s="651" t="s">
        <v>288</v>
      </c>
      <c r="DX15" s="650" t="s">
        <v>699</v>
      </c>
      <c r="DY15" s="651" t="s">
        <v>288</v>
      </c>
      <c r="DZ15" s="650" t="s">
        <v>699</v>
      </c>
      <c r="EA15" s="651" t="s">
        <v>288</v>
      </c>
      <c r="EB15" s="650" t="s">
        <v>532</v>
      </c>
      <c r="EC15" s="651" t="s">
        <v>288</v>
      </c>
      <c r="ED15" s="650" t="s">
        <v>532</v>
      </c>
      <c r="EE15" s="651" t="s">
        <v>288</v>
      </c>
      <c r="EF15" s="650" t="s">
        <v>699</v>
      </c>
      <c r="EG15" s="651" t="s">
        <v>288</v>
      </c>
      <c r="EH15" s="650" t="s">
        <v>699</v>
      </c>
      <c r="EI15" s="651" t="s">
        <v>288</v>
      </c>
      <c r="EJ15" s="650" t="s">
        <v>699</v>
      </c>
      <c r="EK15" s="651" t="s">
        <v>288</v>
      </c>
      <c r="EL15" s="650" t="s">
        <v>699</v>
      </c>
      <c r="EM15" s="651" t="s">
        <v>288</v>
      </c>
      <c r="EN15" s="650" t="s">
        <v>532</v>
      </c>
      <c r="EO15" s="651" t="s">
        <v>288</v>
      </c>
      <c r="EP15" s="650" t="s">
        <v>502</v>
      </c>
      <c r="EQ15" s="651" t="s">
        <v>288</v>
      </c>
      <c r="ER15" s="650" t="s">
        <v>532</v>
      </c>
      <c r="ES15" s="651" t="s">
        <v>288</v>
      </c>
      <c r="ET15" s="650" t="s">
        <v>699</v>
      </c>
      <c r="EU15" s="651" t="s">
        <v>288</v>
      </c>
      <c r="EV15" s="650" t="s">
        <v>532</v>
      </c>
      <c r="EW15" s="651" t="s">
        <v>288</v>
      </c>
      <c r="EX15" s="650" t="s">
        <v>532</v>
      </c>
      <c r="EY15" s="651" t="s">
        <v>288</v>
      </c>
      <c r="EZ15" s="650" t="s">
        <v>532</v>
      </c>
      <c r="FA15" s="651" t="s">
        <v>288</v>
      </c>
      <c r="FB15" s="650" t="s">
        <v>699</v>
      </c>
      <c r="FC15" s="651" t="s">
        <v>288</v>
      </c>
      <c r="FD15" s="650" t="s">
        <v>699</v>
      </c>
      <c r="FE15" s="651" t="s">
        <v>288</v>
      </c>
      <c r="FF15" s="650" t="s">
        <v>502</v>
      </c>
      <c r="FG15" s="651" t="s">
        <v>288</v>
      </c>
      <c r="FH15" s="652" t="s">
        <v>291</v>
      </c>
      <c r="FI15" s="654"/>
      <c r="FJ15" s="529" t="s">
        <v>283</v>
      </c>
      <c r="FK15" s="645" t="s">
        <v>261</v>
      </c>
      <c r="FL15" s="646" t="s">
        <v>262</v>
      </c>
      <c r="FM15" s="647" t="s">
        <v>691</v>
      </c>
      <c r="FN15" s="647" t="s">
        <v>285</v>
      </c>
      <c r="FO15" s="648" t="s">
        <v>104</v>
      </c>
      <c r="FP15" s="655" t="s">
        <v>48</v>
      </c>
      <c r="FQ15" s="656" t="s">
        <v>288</v>
      </c>
      <c r="FR15" s="650" t="s">
        <v>291</v>
      </c>
      <c r="FS15" s="657" t="s">
        <v>48</v>
      </c>
      <c r="FT15" s="656" t="s">
        <v>288</v>
      </c>
      <c r="FU15" s="658" t="s">
        <v>291</v>
      </c>
      <c r="FV15" s="580"/>
      <c r="FW15" s="581"/>
      <c r="FX15" s="582"/>
      <c r="FY15" s="583"/>
      <c r="FZ15" s="584"/>
      <c r="GA15" s="585"/>
      <c r="GB15" s="586"/>
      <c r="GC15" s="587"/>
      <c r="GD15" s="586"/>
      <c r="GE15" s="588"/>
      <c r="GF15" s="659"/>
      <c r="GG15" s="660"/>
      <c r="GH15" s="660"/>
      <c r="GI15" s="660"/>
      <c r="GJ15" s="516"/>
      <c r="GK15" s="615"/>
      <c r="GL15" s="616"/>
      <c r="GM15" s="617"/>
      <c r="GN15" s="618"/>
      <c r="GO15" s="619"/>
      <c r="GP15" s="643"/>
      <c r="GQ15" s="620">
        <v>0</v>
      </c>
      <c r="GR15" s="621">
        <v>0</v>
      </c>
      <c r="GS15" s="516"/>
      <c r="GT15" s="660"/>
      <c r="GU15" s="615"/>
      <c r="GV15" s="616"/>
      <c r="GW15" s="622"/>
      <c r="GX15" s="623"/>
      <c r="GY15" s="624"/>
      <c r="GZ15" s="625"/>
      <c r="HA15" s="626">
        <v>0</v>
      </c>
      <c r="HB15" s="627"/>
      <c r="HC15" s="661"/>
      <c r="HD15" s="653"/>
      <c r="HE15" s="406"/>
      <c r="HF15" s="406"/>
      <c r="HG15" s="406"/>
    </row>
    <row r="16" spans="1:353" ht="20.100000000000001" customHeight="1">
      <c r="A16" s="539"/>
      <c r="B16" s="541" t="s">
        <v>236</v>
      </c>
      <c r="C16" s="662"/>
      <c r="D16" s="542">
        <v>69.12</v>
      </c>
      <c r="E16" s="663">
        <v>2.9</v>
      </c>
      <c r="F16" s="664"/>
      <c r="G16" s="665">
        <v>0</v>
      </c>
      <c r="H16" s="546">
        <f>ROUND(69.12*2.9*0,0)</f>
        <v>0</v>
      </c>
      <c r="I16" s="666">
        <v>0</v>
      </c>
      <c r="J16" s="546">
        <f>ROUND(69.12*2.9*0,0)</f>
        <v>0</v>
      </c>
      <c r="K16" s="666">
        <v>0</v>
      </c>
      <c r="L16" s="546">
        <f>ROUND(69.12*2.9*0,0)</f>
        <v>0</v>
      </c>
      <c r="M16" s="666">
        <v>0</v>
      </c>
      <c r="N16" s="546">
        <f>ROUND(69.12*2.9*0,0)</f>
        <v>0</v>
      </c>
      <c r="O16" s="666">
        <v>0</v>
      </c>
      <c r="P16" s="546">
        <f>ROUND(69.12*2.9*0,0)</f>
        <v>0</v>
      </c>
      <c r="Q16" s="666">
        <v>0</v>
      </c>
      <c r="R16" s="546">
        <f>ROUND(69.12*2.9*0,0)</f>
        <v>0</v>
      </c>
      <c r="S16" s="666">
        <v>0</v>
      </c>
      <c r="T16" s="546">
        <f>ROUND(69.12*2.9*0,0)</f>
        <v>0</v>
      </c>
      <c r="U16" s="666">
        <v>0</v>
      </c>
      <c r="V16" s="546">
        <f>ROUND(69.12*2.9*0,0)</f>
        <v>0</v>
      </c>
      <c r="W16" s="666">
        <v>1</v>
      </c>
      <c r="X16" s="546">
        <f>ROUND(69.12*2.9*1,0)</f>
        <v>200</v>
      </c>
      <c r="Y16" s="666">
        <v>1.3</v>
      </c>
      <c r="Z16" s="546">
        <f>ROUND(69.12*2.9*1.3,0)</f>
        <v>261</v>
      </c>
      <c r="AA16" s="666">
        <v>1.6</v>
      </c>
      <c r="AB16" s="546">
        <f>ROUND(69.12*2.9*1.6,0)</f>
        <v>321</v>
      </c>
      <c r="AC16" s="666">
        <v>1.7</v>
      </c>
      <c r="AD16" s="546">
        <f>ROUND(69.12*2.9*1.7,0)</f>
        <v>341</v>
      </c>
      <c r="AE16" s="666">
        <v>1.8</v>
      </c>
      <c r="AF16" s="546">
        <f>ROUND(69.12*2.9*1.8,0)</f>
        <v>361</v>
      </c>
      <c r="AG16" s="666">
        <v>1.8</v>
      </c>
      <c r="AH16" s="546">
        <f>ROUND(69.12*2.9*1.8,0)</f>
        <v>361</v>
      </c>
      <c r="AI16" s="666">
        <v>1.6</v>
      </c>
      <c r="AJ16" s="546">
        <f>ROUND(69.12*2.9*1.6,0)</f>
        <v>321</v>
      </c>
      <c r="AK16" s="666">
        <v>1.5</v>
      </c>
      <c r="AL16" s="546">
        <f>ROUND(69.12*2.9*1.5,0)</f>
        <v>301</v>
      </c>
      <c r="AM16" s="666">
        <v>1.2</v>
      </c>
      <c r="AN16" s="546">
        <f>ROUND(69.12*2.9*1.2,0)</f>
        <v>241</v>
      </c>
      <c r="AO16" s="666">
        <v>1</v>
      </c>
      <c r="AP16" s="546">
        <f>ROUND(69.12*2.9*1,0)</f>
        <v>200</v>
      </c>
      <c r="AQ16" s="666">
        <v>0</v>
      </c>
      <c r="AR16" s="546">
        <f>ROUND(69.12*2.9*0,0)</f>
        <v>0</v>
      </c>
      <c r="AS16" s="666">
        <v>0</v>
      </c>
      <c r="AT16" s="546">
        <f>ROUND(69.12*2.9*0,0)</f>
        <v>0</v>
      </c>
      <c r="AU16" s="666">
        <v>0</v>
      </c>
      <c r="AV16" s="546">
        <f>ROUND(69.12*2.9*0,0)</f>
        <v>0</v>
      </c>
      <c r="AW16" s="666">
        <v>0</v>
      </c>
      <c r="AX16" s="546">
        <f>ROUND(69.12*2.9*0,0)</f>
        <v>0</v>
      </c>
      <c r="AY16" s="666">
        <v>0</v>
      </c>
      <c r="AZ16" s="546">
        <f>ROUND(69.12*2.9*0,0)</f>
        <v>0</v>
      </c>
      <c r="BA16" s="666">
        <v>0</v>
      </c>
      <c r="BB16" s="667">
        <f>ROUND(69.12*2.9*0,0)</f>
        <v>0</v>
      </c>
      <c r="BC16" s="549"/>
      <c r="BD16" s="539"/>
      <c r="BE16" s="541" t="s">
        <v>236</v>
      </c>
      <c r="BF16" s="662"/>
      <c r="BG16" s="542">
        <v>69.12</v>
      </c>
      <c r="BH16" s="663">
        <v>2.9</v>
      </c>
      <c r="BI16" s="664"/>
      <c r="BJ16" s="665">
        <v>0</v>
      </c>
      <c r="BK16" s="546">
        <f>ROUND(69.12*2.9*0,0)</f>
        <v>0</v>
      </c>
      <c r="BL16" s="666">
        <v>0</v>
      </c>
      <c r="BM16" s="546">
        <f>ROUND(69.12*2.9*0,0)</f>
        <v>0</v>
      </c>
      <c r="BN16" s="666">
        <v>0</v>
      </c>
      <c r="BO16" s="546">
        <f>ROUND(69.12*2.9*0,0)</f>
        <v>0</v>
      </c>
      <c r="BP16" s="666">
        <v>0</v>
      </c>
      <c r="BQ16" s="546">
        <f>ROUND(69.12*2.9*0,0)</f>
        <v>0</v>
      </c>
      <c r="BR16" s="666">
        <v>0</v>
      </c>
      <c r="BS16" s="546">
        <f>ROUND(69.12*2.9*0,0)</f>
        <v>0</v>
      </c>
      <c r="BT16" s="666">
        <v>0</v>
      </c>
      <c r="BU16" s="546">
        <f>ROUND(69.12*2.9*0,0)</f>
        <v>0</v>
      </c>
      <c r="BV16" s="666">
        <v>0</v>
      </c>
      <c r="BW16" s="546">
        <f>ROUND(69.12*2.9*0,0)</f>
        <v>0</v>
      </c>
      <c r="BX16" s="666">
        <v>0</v>
      </c>
      <c r="BY16" s="546">
        <f>ROUND(69.12*2.9*0,0)</f>
        <v>0</v>
      </c>
      <c r="BZ16" s="666">
        <v>0.9</v>
      </c>
      <c r="CA16" s="546">
        <f>ROUND(69.12*2.9*0.9,0)</f>
        <v>180</v>
      </c>
      <c r="CB16" s="666">
        <v>1.2</v>
      </c>
      <c r="CC16" s="546">
        <f>ROUND(69.12*2.9*1.2,0)</f>
        <v>241</v>
      </c>
      <c r="CD16" s="666">
        <v>1.5</v>
      </c>
      <c r="CE16" s="546">
        <f>ROUND(69.12*2.9*1.5,0)</f>
        <v>301</v>
      </c>
      <c r="CF16" s="666">
        <v>1.6</v>
      </c>
      <c r="CG16" s="546">
        <f>ROUND(69.12*2.9*1.6,0)</f>
        <v>321</v>
      </c>
      <c r="CH16" s="666">
        <v>1.7</v>
      </c>
      <c r="CI16" s="546">
        <f>ROUND(69.12*2.9*1.7,0)</f>
        <v>341</v>
      </c>
      <c r="CJ16" s="666">
        <v>1.6</v>
      </c>
      <c r="CK16" s="546">
        <f>ROUND(69.12*2.9*1.6,0)</f>
        <v>321</v>
      </c>
      <c r="CL16" s="666">
        <v>1.5</v>
      </c>
      <c r="CM16" s="546">
        <f>ROUND(69.12*2.9*1.5,0)</f>
        <v>301</v>
      </c>
      <c r="CN16" s="666">
        <v>1.3</v>
      </c>
      <c r="CO16" s="546">
        <f>ROUND(69.12*2.9*1.3,0)</f>
        <v>261</v>
      </c>
      <c r="CP16" s="666">
        <v>1.2</v>
      </c>
      <c r="CQ16" s="546">
        <f>ROUND(69.12*2.9*1.2,0)</f>
        <v>241</v>
      </c>
      <c r="CR16" s="666">
        <v>0.9</v>
      </c>
      <c r="CS16" s="546">
        <f>ROUND(69.12*2.9*0.9,0)</f>
        <v>180</v>
      </c>
      <c r="CT16" s="666">
        <v>0</v>
      </c>
      <c r="CU16" s="546">
        <f>ROUND(69.12*2.9*0,0)</f>
        <v>0</v>
      </c>
      <c r="CV16" s="666">
        <v>0</v>
      </c>
      <c r="CW16" s="546">
        <f>ROUND(69.12*2.9*0,0)</f>
        <v>0</v>
      </c>
      <c r="CX16" s="666">
        <v>0</v>
      </c>
      <c r="CY16" s="546">
        <f>ROUND(69.12*2.9*0,0)</f>
        <v>0</v>
      </c>
      <c r="CZ16" s="666">
        <v>0</v>
      </c>
      <c r="DA16" s="546">
        <f>ROUND(69.12*2.9*0,0)</f>
        <v>0</v>
      </c>
      <c r="DB16" s="666">
        <v>0</v>
      </c>
      <c r="DC16" s="546">
        <f>ROUND(69.12*2.9*0,0)</f>
        <v>0</v>
      </c>
      <c r="DD16" s="666">
        <v>0</v>
      </c>
      <c r="DE16" s="667">
        <f>ROUND(69.12*2.9*0,0)</f>
        <v>0</v>
      </c>
      <c r="DF16" s="549"/>
      <c r="DG16" s="539"/>
      <c r="DH16" s="541" t="s">
        <v>236</v>
      </c>
      <c r="DI16" s="662"/>
      <c r="DJ16" s="542">
        <v>69.12</v>
      </c>
      <c r="DK16" s="663">
        <v>2.9</v>
      </c>
      <c r="DL16" s="664"/>
      <c r="DM16" s="665">
        <v>0</v>
      </c>
      <c r="DN16" s="546">
        <f>ROUND(69.12*2.9*0,0)</f>
        <v>0</v>
      </c>
      <c r="DO16" s="666">
        <v>0</v>
      </c>
      <c r="DP16" s="546">
        <f>ROUND(69.12*2.9*0,0)</f>
        <v>0</v>
      </c>
      <c r="DQ16" s="666">
        <v>0</v>
      </c>
      <c r="DR16" s="546">
        <f>ROUND(69.12*2.9*0,0)</f>
        <v>0</v>
      </c>
      <c r="DS16" s="666">
        <v>0</v>
      </c>
      <c r="DT16" s="546">
        <f>ROUND(69.12*2.9*0,0)</f>
        <v>0</v>
      </c>
      <c r="DU16" s="666">
        <v>0</v>
      </c>
      <c r="DV16" s="546">
        <f>ROUND(69.12*2.9*0,0)</f>
        <v>0</v>
      </c>
      <c r="DW16" s="666">
        <v>0</v>
      </c>
      <c r="DX16" s="546">
        <f>ROUND(69.12*2.9*0,0)</f>
        <v>0</v>
      </c>
      <c r="DY16" s="666">
        <v>0</v>
      </c>
      <c r="DZ16" s="546">
        <f>ROUND(69.12*2.9*0,0)</f>
        <v>0</v>
      </c>
      <c r="EA16" s="666">
        <v>0</v>
      </c>
      <c r="EB16" s="546">
        <f>ROUND(69.12*2.9*0,0)</f>
        <v>0</v>
      </c>
      <c r="EC16" s="666">
        <v>0.2</v>
      </c>
      <c r="ED16" s="546">
        <f>ROUND(69.12*2.9*0.2,0)</f>
        <v>40</v>
      </c>
      <c r="EE16" s="666">
        <v>0.6</v>
      </c>
      <c r="EF16" s="546">
        <f>ROUND(69.12*2.9*0.6,0)</f>
        <v>120</v>
      </c>
      <c r="EG16" s="666">
        <v>0.9</v>
      </c>
      <c r="EH16" s="546">
        <f>ROUND(69.12*2.9*0.9,0)</f>
        <v>180</v>
      </c>
      <c r="EI16" s="666">
        <v>1.1000000000000001</v>
      </c>
      <c r="EJ16" s="546">
        <f>ROUND(69.12*2.9*1.1,0)</f>
        <v>220</v>
      </c>
      <c r="EK16" s="666">
        <v>1.1000000000000001</v>
      </c>
      <c r="EL16" s="546">
        <f>ROUND(69.12*2.9*1.1,0)</f>
        <v>220</v>
      </c>
      <c r="EM16" s="666">
        <v>1</v>
      </c>
      <c r="EN16" s="546">
        <f>ROUND(69.12*2.9*1,0)</f>
        <v>200</v>
      </c>
      <c r="EO16" s="666">
        <v>0.9</v>
      </c>
      <c r="EP16" s="546">
        <f>ROUND(69.12*2.9*0.9,0)</f>
        <v>180</v>
      </c>
      <c r="EQ16" s="666">
        <v>0.8</v>
      </c>
      <c r="ER16" s="546">
        <f>ROUND(69.12*2.9*0.8,0)</f>
        <v>160</v>
      </c>
      <c r="ES16" s="666">
        <v>0.5</v>
      </c>
      <c r="ET16" s="546">
        <f>ROUND(69.12*2.9*0.5,0)</f>
        <v>100</v>
      </c>
      <c r="EU16" s="666">
        <v>0.2</v>
      </c>
      <c r="EV16" s="546">
        <f>ROUND(69.12*2.9*0.2,0)</f>
        <v>40</v>
      </c>
      <c r="EW16" s="666">
        <v>0</v>
      </c>
      <c r="EX16" s="546">
        <f>ROUND(69.12*2.9*0,0)</f>
        <v>0</v>
      </c>
      <c r="EY16" s="666">
        <v>0</v>
      </c>
      <c r="EZ16" s="546">
        <f>ROUND(69.12*2.9*0,0)</f>
        <v>0</v>
      </c>
      <c r="FA16" s="666">
        <v>0</v>
      </c>
      <c r="FB16" s="546">
        <f>ROUND(69.12*2.9*0,0)</f>
        <v>0</v>
      </c>
      <c r="FC16" s="666">
        <v>0</v>
      </c>
      <c r="FD16" s="546">
        <f>ROUND(69.12*2.9*0,0)</f>
        <v>0</v>
      </c>
      <c r="FE16" s="666">
        <v>0</v>
      </c>
      <c r="FF16" s="546">
        <f>ROUND(69.12*2.9*0,0)</f>
        <v>0</v>
      </c>
      <c r="FG16" s="666">
        <v>0</v>
      </c>
      <c r="FH16" s="667">
        <f>ROUND(69.12*2.9*0,0)</f>
        <v>0</v>
      </c>
      <c r="FI16" s="550"/>
      <c r="FJ16" s="551"/>
      <c r="FK16" s="541" t="s">
        <v>236</v>
      </c>
      <c r="FL16" s="662"/>
      <c r="FM16" s="542">
        <v>69.12</v>
      </c>
      <c r="FN16" s="663">
        <v>2.9</v>
      </c>
      <c r="FO16" s="664"/>
      <c r="FP16" s="668">
        <v>9</v>
      </c>
      <c r="FQ16" s="669">
        <v>5.0999999999999996</v>
      </c>
      <c r="FR16" s="546">
        <f>ROUND(69.12*2.9*5.1,0)</f>
        <v>1022</v>
      </c>
      <c r="FS16" s="670">
        <v>9</v>
      </c>
      <c r="FT16" s="669">
        <v>5.2</v>
      </c>
      <c r="FU16" s="554">
        <f>ROUND(69.12*2.9*5.2,0)</f>
        <v>1042</v>
      </c>
      <c r="FV16" s="580"/>
      <c r="FW16" s="581"/>
      <c r="FX16" s="582"/>
      <c r="FY16" s="583"/>
      <c r="FZ16" s="584"/>
      <c r="GA16" s="585"/>
      <c r="GB16" s="586"/>
      <c r="GC16" s="587"/>
      <c r="GD16" s="586"/>
      <c r="GE16" s="588"/>
      <c r="GF16" s="671"/>
      <c r="GG16" s="660"/>
      <c r="GH16" s="660"/>
      <c r="GI16" s="660"/>
      <c r="GJ16" s="404"/>
      <c r="GK16" s="615"/>
      <c r="GL16" s="616"/>
      <c r="GM16" s="617"/>
      <c r="GN16" s="618"/>
      <c r="GO16" s="619"/>
      <c r="GP16" s="643"/>
      <c r="GQ16" s="620">
        <v>0</v>
      </c>
      <c r="GR16" s="621">
        <v>0</v>
      </c>
      <c r="GS16" s="400"/>
      <c r="GT16" s="672"/>
      <c r="GU16" s="615"/>
      <c r="GV16" s="616"/>
      <c r="GW16" s="622"/>
      <c r="GX16" s="623"/>
      <c r="GY16" s="624"/>
      <c r="GZ16" s="625"/>
      <c r="HA16" s="626">
        <v>0</v>
      </c>
      <c r="HB16" s="627"/>
      <c r="HC16" s="673"/>
      <c r="HD16" s="406"/>
      <c r="HE16" s="406"/>
      <c r="HF16" s="406"/>
      <c r="HG16" s="406"/>
    </row>
    <row r="17" spans="1:218" ht="20.100000000000001" customHeight="1">
      <c r="A17" s="539"/>
      <c r="B17" s="569"/>
      <c r="C17" s="674"/>
      <c r="D17" s="570"/>
      <c r="E17" s="675"/>
      <c r="F17" s="676"/>
      <c r="G17" s="677"/>
      <c r="H17" s="574"/>
      <c r="I17" s="678"/>
      <c r="J17" s="574"/>
      <c r="K17" s="678"/>
      <c r="L17" s="574"/>
      <c r="M17" s="678"/>
      <c r="N17" s="574"/>
      <c r="O17" s="678"/>
      <c r="P17" s="574"/>
      <c r="Q17" s="678"/>
      <c r="R17" s="574"/>
      <c r="S17" s="678"/>
      <c r="T17" s="574"/>
      <c r="U17" s="678"/>
      <c r="V17" s="574"/>
      <c r="W17" s="678"/>
      <c r="X17" s="574"/>
      <c r="Y17" s="678"/>
      <c r="Z17" s="574"/>
      <c r="AA17" s="678"/>
      <c r="AB17" s="574"/>
      <c r="AC17" s="678"/>
      <c r="AD17" s="574"/>
      <c r="AE17" s="678"/>
      <c r="AF17" s="574"/>
      <c r="AG17" s="678"/>
      <c r="AH17" s="574"/>
      <c r="AI17" s="678"/>
      <c r="AJ17" s="574"/>
      <c r="AK17" s="678"/>
      <c r="AL17" s="574"/>
      <c r="AM17" s="678"/>
      <c r="AN17" s="574"/>
      <c r="AO17" s="678"/>
      <c r="AP17" s="574"/>
      <c r="AQ17" s="678"/>
      <c r="AR17" s="574"/>
      <c r="AS17" s="678"/>
      <c r="AT17" s="574"/>
      <c r="AU17" s="678"/>
      <c r="AV17" s="574"/>
      <c r="AW17" s="678"/>
      <c r="AX17" s="574"/>
      <c r="AY17" s="678"/>
      <c r="AZ17" s="574"/>
      <c r="BA17" s="678"/>
      <c r="BB17" s="576"/>
      <c r="BC17" s="549"/>
      <c r="BD17" s="539"/>
      <c r="BE17" s="569"/>
      <c r="BF17" s="674"/>
      <c r="BG17" s="570"/>
      <c r="BH17" s="675"/>
      <c r="BI17" s="676"/>
      <c r="BJ17" s="677"/>
      <c r="BK17" s="574"/>
      <c r="BL17" s="678"/>
      <c r="BM17" s="574"/>
      <c r="BN17" s="678"/>
      <c r="BO17" s="574"/>
      <c r="BP17" s="678"/>
      <c r="BQ17" s="574"/>
      <c r="BR17" s="678"/>
      <c r="BS17" s="574"/>
      <c r="BT17" s="678"/>
      <c r="BU17" s="574"/>
      <c r="BV17" s="678"/>
      <c r="BW17" s="574"/>
      <c r="BX17" s="678"/>
      <c r="BY17" s="574"/>
      <c r="BZ17" s="678"/>
      <c r="CA17" s="574"/>
      <c r="CB17" s="678"/>
      <c r="CC17" s="574"/>
      <c r="CD17" s="678"/>
      <c r="CE17" s="574"/>
      <c r="CF17" s="678"/>
      <c r="CG17" s="574"/>
      <c r="CH17" s="678"/>
      <c r="CI17" s="574"/>
      <c r="CJ17" s="678"/>
      <c r="CK17" s="574"/>
      <c r="CL17" s="678"/>
      <c r="CM17" s="574"/>
      <c r="CN17" s="678"/>
      <c r="CO17" s="574"/>
      <c r="CP17" s="678"/>
      <c r="CQ17" s="574"/>
      <c r="CR17" s="678"/>
      <c r="CS17" s="574"/>
      <c r="CT17" s="678"/>
      <c r="CU17" s="574"/>
      <c r="CV17" s="678"/>
      <c r="CW17" s="574"/>
      <c r="CX17" s="678"/>
      <c r="CY17" s="574"/>
      <c r="CZ17" s="678"/>
      <c r="DA17" s="574"/>
      <c r="DB17" s="678"/>
      <c r="DC17" s="574"/>
      <c r="DD17" s="678"/>
      <c r="DE17" s="576"/>
      <c r="DF17" s="549"/>
      <c r="DG17" s="539"/>
      <c r="DH17" s="569"/>
      <c r="DI17" s="674"/>
      <c r="DJ17" s="570"/>
      <c r="DK17" s="675"/>
      <c r="DL17" s="676"/>
      <c r="DM17" s="677"/>
      <c r="DN17" s="574"/>
      <c r="DO17" s="678"/>
      <c r="DP17" s="574"/>
      <c r="DQ17" s="678"/>
      <c r="DR17" s="574"/>
      <c r="DS17" s="678"/>
      <c r="DT17" s="574"/>
      <c r="DU17" s="678"/>
      <c r="DV17" s="574"/>
      <c r="DW17" s="678"/>
      <c r="DX17" s="574"/>
      <c r="DY17" s="678"/>
      <c r="DZ17" s="574"/>
      <c r="EA17" s="678"/>
      <c r="EB17" s="574"/>
      <c r="EC17" s="678"/>
      <c r="ED17" s="574"/>
      <c r="EE17" s="678"/>
      <c r="EF17" s="574"/>
      <c r="EG17" s="678"/>
      <c r="EH17" s="574"/>
      <c r="EI17" s="678"/>
      <c r="EJ17" s="574"/>
      <c r="EK17" s="678"/>
      <c r="EL17" s="574"/>
      <c r="EM17" s="678"/>
      <c r="EN17" s="574"/>
      <c r="EO17" s="678"/>
      <c r="EP17" s="574"/>
      <c r="EQ17" s="678"/>
      <c r="ER17" s="574"/>
      <c r="ES17" s="678"/>
      <c r="ET17" s="574"/>
      <c r="EU17" s="678"/>
      <c r="EV17" s="574"/>
      <c r="EW17" s="678"/>
      <c r="EX17" s="574"/>
      <c r="EY17" s="678"/>
      <c r="EZ17" s="574"/>
      <c r="FA17" s="678"/>
      <c r="FB17" s="574"/>
      <c r="FC17" s="678"/>
      <c r="FD17" s="574"/>
      <c r="FE17" s="678"/>
      <c r="FF17" s="574"/>
      <c r="FG17" s="678"/>
      <c r="FH17" s="576"/>
      <c r="FI17" s="550"/>
      <c r="FJ17" s="551"/>
      <c r="FK17" s="569"/>
      <c r="FL17" s="674"/>
      <c r="FM17" s="570"/>
      <c r="FN17" s="675"/>
      <c r="FO17" s="676"/>
      <c r="FP17" s="679"/>
      <c r="FQ17" s="680"/>
      <c r="FR17" s="574"/>
      <c r="FS17" s="681"/>
      <c r="FT17" s="680"/>
      <c r="FU17" s="579"/>
      <c r="FV17" s="580"/>
      <c r="FW17" s="581"/>
      <c r="FX17" s="582"/>
      <c r="FY17" s="583"/>
      <c r="FZ17" s="584"/>
      <c r="GA17" s="585"/>
      <c r="GB17" s="586"/>
      <c r="GC17" s="587"/>
      <c r="GD17" s="586"/>
      <c r="GE17" s="588"/>
      <c r="GF17" s="671"/>
      <c r="GG17" s="589"/>
      <c r="GH17" s="589"/>
      <c r="GI17" s="589"/>
      <c r="GJ17" s="567"/>
      <c r="GK17" s="615"/>
      <c r="GL17" s="616"/>
      <c r="GM17" s="617"/>
      <c r="GN17" s="618"/>
      <c r="GO17" s="619"/>
      <c r="GP17" s="643"/>
      <c r="GQ17" s="620">
        <v>0</v>
      </c>
      <c r="GR17" s="621">
        <v>0</v>
      </c>
      <c r="GS17" s="682"/>
      <c r="GT17" s="672"/>
      <c r="GU17" s="615"/>
      <c r="GV17" s="616"/>
      <c r="GW17" s="622"/>
      <c r="GX17" s="623"/>
      <c r="GY17" s="624"/>
      <c r="GZ17" s="625"/>
      <c r="HA17" s="626">
        <v>0</v>
      </c>
      <c r="HB17" s="627"/>
      <c r="HC17" s="517"/>
      <c r="HD17" s="406"/>
      <c r="HE17" s="406"/>
      <c r="HF17" s="406"/>
      <c r="HG17" s="406"/>
    </row>
    <row r="18" spans="1:218" ht="20.100000000000001" customHeight="1">
      <c r="A18" s="539"/>
      <c r="B18" s="683"/>
      <c r="C18" s="674"/>
      <c r="D18" s="570"/>
      <c r="E18" s="675"/>
      <c r="F18" s="676"/>
      <c r="G18" s="677"/>
      <c r="H18" s="574"/>
      <c r="I18" s="678"/>
      <c r="J18" s="574"/>
      <c r="K18" s="678"/>
      <c r="L18" s="574"/>
      <c r="M18" s="678"/>
      <c r="N18" s="574"/>
      <c r="O18" s="678"/>
      <c r="P18" s="574"/>
      <c r="Q18" s="678"/>
      <c r="R18" s="574"/>
      <c r="S18" s="678"/>
      <c r="T18" s="574"/>
      <c r="U18" s="678"/>
      <c r="V18" s="574"/>
      <c r="W18" s="678"/>
      <c r="X18" s="574"/>
      <c r="Y18" s="678"/>
      <c r="Z18" s="574"/>
      <c r="AA18" s="678"/>
      <c r="AB18" s="574"/>
      <c r="AC18" s="678"/>
      <c r="AD18" s="574"/>
      <c r="AE18" s="678"/>
      <c r="AF18" s="574"/>
      <c r="AG18" s="678"/>
      <c r="AH18" s="574"/>
      <c r="AI18" s="678"/>
      <c r="AJ18" s="574"/>
      <c r="AK18" s="678"/>
      <c r="AL18" s="574"/>
      <c r="AM18" s="678"/>
      <c r="AN18" s="574"/>
      <c r="AO18" s="678"/>
      <c r="AP18" s="574"/>
      <c r="AQ18" s="678"/>
      <c r="AR18" s="574"/>
      <c r="AS18" s="678"/>
      <c r="AT18" s="574"/>
      <c r="AU18" s="678"/>
      <c r="AV18" s="574"/>
      <c r="AW18" s="678"/>
      <c r="AX18" s="574"/>
      <c r="AY18" s="678"/>
      <c r="AZ18" s="574"/>
      <c r="BA18" s="678"/>
      <c r="BB18" s="576"/>
      <c r="BC18" s="549"/>
      <c r="BD18" s="539"/>
      <c r="BE18" s="683"/>
      <c r="BF18" s="674"/>
      <c r="BG18" s="570"/>
      <c r="BH18" s="675"/>
      <c r="BI18" s="676"/>
      <c r="BJ18" s="677"/>
      <c r="BK18" s="574"/>
      <c r="BL18" s="678"/>
      <c r="BM18" s="574"/>
      <c r="BN18" s="678"/>
      <c r="BO18" s="574"/>
      <c r="BP18" s="678"/>
      <c r="BQ18" s="574"/>
      <c r="BR18" s="678"/>
      <c r="BS18" s="574"/>
      <c r="BT18" s="678"/>
      <c r="BU18" s="574"/>
      <c r="BV18" s="678"/>
      <c r="BW18" s="574"/>
      <c r="BX18" s="678"/>
      <c r="BY18" s="574"/>
      <c r="BZ18" s="678"/>
      <c r="CA18" s="574"/>
      <c r="CB18" s="678"/>
      <c r="CC18" s="574"/>
      <c r="CD18" s="678"/>
      <c r="CE18" s="574"/>
      <c r="CF18" s="678"/>
      <c r="CG18" s="574"/>
      <c r="CH18" s="678"/>
      <c r="CI18" s="574"/>
      <c r="CJ18" s="678"/>
      <c r="CK18" s="574"/>
      <c r="CL18" s="678"/>
      <c r="CM18" s="574"/>
      <c r="CN18" s="678"/>
      <c r="CO18" s="574"/>
      <c r="CP18" s="678"/>
      <c r="CQ18" s="574"/>
      <c r="CR18" s="678"/>
      <c r="CS18" s="574"/>
      <c r="CT18" s="678"/>
      <c r="CU18" s="574"/>
      <c r="CV18" s="678"/>
      <c r="CW18" s="574"/>
      <c r="CX18" s="678"/>
      <c r="CY18" s="574"/>
      <c r="CZ18" s="678"/>
      <c r="DA18" s="574"/>
      <c r="DB18" s="678"/>
      <c r="DC18" s="574"/>
      <c r="DD18" s="678"/>
      <c r="DE18" s="576"/>
      <c r="DF18" s="549"/>
      <c r="DG18" s="539"/>
      <c r="DH18" s="683"/>
      <c r="DI18" s="674"/>
      <c r="DJ18" s="570"/>
      <c r="DK18" s="675"/>
      <c r="DL18" s="676"/>
      <c r="DM18" s="677"/>
      <c r="DN18" s="574"/>
      <c r="DO18" s="678"/>
      <c r="DP18" s="574"/>
      <c r="DQ18" s="678"/>
      <c r="DR18" s="574"/>
      <c r="DS18" s="678"/>
      <c r="DT18" s="574"/>
      <c r="DU18" s="678"/>
      <c r="DV18" s="574"/>
      <c r="DW18" s="678"/>
      <c r="DX18" s="574"/>
      <c r="DY18" s="678"/>
      <c r="DZ18" s="574"/>
      <c r="EA18" s="678"/>
      <c r="EB18" s="574"/>
      <c r="EC18" s="678"/>
      <c r="ED18" s="574"/>
      <c r="EE18" s="678"/>
      <c r="EF18" s="574"/>
      <c r="EG18" s="678"/>
      <c r="EH18" s="574"/>
      <c r="EI18" s="678"/>
      <c r="EJ18" s="574"/>
      <c r="EK18" s="678"/>
      <c r="EL18" s="574"/>
      <c r="EM18" s="678"/>
      <c r="EN18" s="574"/>
      <c r="EO18" s="678"/>
      <c r="EP18" s="574"/>
      <c r="EQ18" s="678"/>
      <c r="ER18" s="574"/>
      <c r="ES18" s="678"/>
      <c r="ET18" s="574"/>
      <c r="EU18" s="678"/>
      <c r="EV18" s="574"/>
      <c r="EW18" s="678"/>
      <c r="EX18" s="574"/>
      <c r="EY18" s="678"/>
      <c r="EZ18" s="574"/>
      <c r="FA18" s="678"/>
      <c r="FB18" s="574"/>
      <c r="FC18" s="678"/>
      <c r="FD18" s="574"/>
      <c r="FE18" s="678"/>
      <c r="FF18" s="574"/>
      <c r="FG18" s="678"/>
      <c r="FH18" s="576"/>
      <c r="FI18" s="550"/>
      <c r="FJ18" s="551"/>
      <c r="FK18" s="683"/>
      <c r="FL18" s="674"/>
      <c r="FM18" s="570"/>
      <c r="FN18" s="675"/>
      <c r="FO18" s="676"/>
      <c r="FP18" s="679"/>
      <c r="FQ18" s="680"/>
      <c r="FR18" s="574"/>
      <c r="FS18" s="681"/>
      <c r="FT18" s="680"/>
      <c r="FU18" s="579"/>
      <c r="FV18" s="580"/>
      <c r="FW18" s="581"/>
      <c r="FX18" s="582"/>
      <c r="FY18" s="583"/>
      <c r="FZ18" s="584"/>
      <c r="GA18" s="585"/>
      <c r="GB18" s="586"/>
      <c r="GC18" s="587"/>
      <c r="GD18" s="586"/>
      <c r="GE18" s="588"/>
      <c r="GF18" s="671"/>
      <c r="GG18" s="589"/>
      <c r="GH18" s="589"/>
      <c r="GI18" s="589"/>
      <c r="GJ18" s="400"/>
      <c r="GK18" s="615"/>
      <c r="GL18" s="616"/>
      <c r="GM18" s="617"/>
      <c r="GN18" s="618"/>
      <c r="GO18" s="619"/>
      <c r="GP18" s="643"/>
      <c r="GQ18" s="620">
        <v>0</v>
      </c>
      <c r="GR18" s="621">
        <v>0</v>
      </c>
      <c r="GS18" s="400"/>
      <c r="GT18" s="404"/>
      <c r="GU18" s="615"/>
      <c r="GV18" s="616"/>
      <c r="GW18" s="622"/>
      <c r="GX18" s="623"/>
      <c r="GY18" s="624"/>
      <c r="GZ18" s="625"/>
      <c r="HA18" s="626">
        <v>0</v>
      </c>
      <c r="HB18" s="627"/>
      <c r="HC18" s="566"/>
      <c r="HD18" s="549"/>
      <c r="HE18" s="406"/>
      <c r="HF18" s="406"/>
      <c r="HG18" s="406"/>
    </row>
    <row r="19" spans="1:218" ht="20.100000000000001" customHeight="1">
      <c r="A19" s="539"/>
      <c r="B19" s="683"/>
      <c r="C19" s="674"/>
      <c r="D19" s="570"/>
      <c r="E19" s="675"/>
      <c r="F19" s="676"/>
      <c r="G19" s="677"/>
      <c r="H19" s="574"/>
      <c r="I19" s="678"/>
      <c r="J19" s="574"/>
      <c r="K19" s="678"/>
      <c r="L19" s="574"/>
      <c r="M19" s="678"/>
      <c r="N19" s="574"/>
      <c r="O19" s="678"/>
      <c r="P19" s="574"/>
      <c r="Q19" s="678"/>
      <c r="R19" s="574"/>
      <c r="S19" s="678"/>
      <c r="T19" s="574"/>
      <c r="U19" s="678"/>
      <c r="V19" s="574"/>
      <c r="W19" s="678"/>
      <c r="X19" s="574"/>
      <c r="Y19" s="678"/>
      <c r="Z19" s="574"/>
      <c r="AA19" s="678"/>
      <c r="AB19" s="574"/>
      <c r="AC19" s="678"/>
      <c r="AD19" s="574"/>
      <c r="AE19" s="678"/>
      <c r="AF19" s="574"/>
      <c r="AG19" s="678"/>
      <c r="AH19" s="574"/>
      <c r="AI19" s="678"/>
      <c r="AJ19" s="574"/>
      <c r="AK19" s="678"/>
      <c r="AL19" s="574"/>
      <c r="AM19" s="678"/>
      <c r="AN19" s="574"/>
      <c r="AO19" s="678"/>
      <c r="AP19" s="574"/>
      <c r="AQ19" s="678"/>
      <c r="AR19" s="574"/>
      <c r="AS19" s="678"/>
      <c r="AT19" s="574"/>
      <c r="AU19" s="678"/>
      <c r="AV19" s="574"/>
      <c r="AW19" s="678"/>
      <c r="AX19" s="574"/>
      <c r="AY19" s="678"/>
      <c r="AZ19" s="574"/>
      <c r="BA19" s="678"/>
      <c r="BB19" s="576"/>
      <c r="BC19" s="549"/>
      <c r="BD19" s="539"/>
      <c r="BE19" s="683"/>
      <c r="BF19" s="674"/>
      <c r="BG19" s="570"/>
      <c r="BH19" s="675"/>
      <c r="BI19" s="676"/>
      <c r="BJ19" s="677"/>
      <c r="BK19" s="574"/>
      <c r="BL19" s="678"/>
      <c r="BM19" s="574"/>
      <c r="BN19" s="678"/>
      <c r="BO19" s="574"/>
      <c r="BP19" s="678"/>
      <c r="BQ19" s="574"/>
      <c r="BR19" s="678"/>
      <c r="BS19" s="574"/>
      <c r="BT19" s="678"/>
      <c r="BU19" s="574"/>
      <c r="BV19" s="678"/>
      <c r="BW19" s="574"/>
      <c r="BX19" s="678"/>
      <c r="BY19" s="574"/>
      <c r="BZ19" s="678"/>
      <c r="CA19" s="574"/>
      <c r="CB19" s="678"/>
      <c r="CC19" s="574"/>
      <c r="CD19" s="678"/>
      <c r="CE19" s="574"/>
      <c r="CF19" s="678"/>
      <c r="CG19" s="574"/>
      <c r="CH19" s="678"/>
      <c r="CI19" s="574"/>
      <c r="CJ19" s="678"/>
      <c r="CK19" s="574"/>
      <c r="CL19" s="678"/>
      <c r="CM19" s="574"/>
      <c r="CN19" s="678"/>
      <c r="CO19" s="574"/>
      <c r="CP19" s="678"/>
      <c r="CQ19" s="574"/>
      <c r="CR19" s="678"/>
      <c r="CS19" s="574"/>
      <c r="CT19" s="678"/>
      <c r="CU19" s="574"/>
      <c r="CV19" s="678"/>
      <c r="CW19" s="574"/>
      <c r="CX19" s="678"/>
      <c r="CY19" s="574"/>
      <c r="CZ19" s="678"/>
      <c r="DA19" s="574"/>
      <c r="DB19" s="678"/>
      <c r="DC19" s="574"/>
      <c r="DD19" s="678"/>
      <c r="DE19" s="576"/>
      <c r="DF19" s="549"/>
      <c r="DG19" s="539"/>
      <c r="DH19" s="683"/>
      <c r="DI19" s="674"/>
      <c r="DJ19" s="570"/>
      <c r="DK19" s="675"/>
      <c r="DL19" s="676"/>
      <c r="DM19" s="677"/>
      <c r="DN19" s="574"/>
      <c r="DO19" s="678"/>
      <c r="DP19" s="574"/>
      <c r="DQ19" s="678"/>
      <c r="DR19" s="574"/>
      <c r="DS19" s="678"/>
      <c r="DT19" s="574"/>
      <c r="DU19" s="678"/>
      <c r="DV19" s="574"/>
      <c r="DW19" s="678"/>
      <c r="DX19" s="574"/>
      <c r="DY19" s="678"/>
      <c r="DZ19" s="574"/>
      <c r="EA19" s="678"/>
      <c r="EB19" s="574"/>
      <c r="EC19" s="678"/>
      <c r="ED19" s="574"/>
      <c r="EE19" s="678"/>
      <c r="EF19" s="574"/>
      <c r="EG19" s="678"/>
      <c r="EH19" s="574"/>
      <c r="EI19" s="678"/>
      <c r="EJ19" s="574"/>
      <c r="EK19" s="678"/>
      <c r="EL19" s="574"/>
      <c r="EM19" s="678"/>
      <c r="EN19" s="574"/>
      <c r="EO19" s="678"/>
      <c r="EP19" s="574"/>
      <c r="EQ19" s="678"/>
      <c r="ER19" s="574"/>
      <c r="ES19" s="678"/>
      <c r="ET19" s="574"/>
      <c r="EU19" s="678"/>
      <c r="EV19" s="574"/>
      <c r="EW19" s="678"/>
      <c r="EX19" s="574"/>
      <c r="EY19" s="678"/>
      <c r="EZ19" s="574"/>
      <c r="FA19" s="678"/>
      <c r="FB19" s="574"/>
      <c r="FC19" s="678"/>
      <c r="FD19" s="574"/>
      <c r="FE19" s="678"/>
      <c r="FF19" s="574"/>
      <c r="FG19" s="678"/>
      <c r="FH19" s="576"/>
      <c r="FI19" s="550"/>
      <c r="FJ19" s="551"/>
      <c r="FK19" s="683"/>
      <c r="FL19" s="674"/>
      <c r="FM19" s="570"/>
      <c r="FN19" s="675"/>
      <c r="FO19" s="676"/>
      <c r="FP19" s="679"/>
      <c r="FQ19" s="680"/>
      <c r="FR19" s="574"/>
      <c r="FS19" s="681"/>
      <c r="FT19" s="680"/>
      <c r="FU19" s="579"/>
      <c r="FV19" s="580"/>
      <c r="FW19" s="581"/>
      <c r="FX19" s="582"/>
      <c r="FY19" s="583"/>
      <c r="FZ19" s="584"/>
      <c r="GA19" s="585"/>
      <c r="GB19" s="586"/>
      <c r="GC19" s="587"/>
      <c r="GD19" s="586"/>
      <c r="GE19" s="588"/>
      <c r="GF19" s="671"/>
      <c r="GG19" s="589"/>
      <c r="GH19" s="589"/>
      <c r="GI19" s="589"/>
      <c r="GJ19" s="400"/>
      <c r="GK19" s="615"/>
      <c r="GL19" s="616"/>
      <c r="GM19" s="617"/>
      <c r="GN19" s="618"/>
      <c r="GO19" s="619"/>
      <c r="GP19" s="643"/>
      <c r="GQ19" s="620">
        <v>0</v>
      </c>
      <c r="GR19" s="621">
        <v>0</v>
      </c>
      <c r="GS19" s="400"/>
      <c r="GT19" s="644"/>
      <c r="GU19" s="615"/>
      <c r="GV19" s="616"/>
      <c r="GW19" s="622"/>
      <c r="GX19" s="623"/>
      <c r="GY19" s="624"/>
      <c r="GZ19" s="625"/>
      <c r="HA19" s="626">
        <v>0</v>
      </c>
      <c r="HB19" s="627"/>
      <c r="HC19" s="516"/>
      <c r="HD19" s="549"/>
      <c r="HE19" s="406"/>
      <c r="HF19" s="406"/>
      <c r="HG19" s="406"/>
    </row>
    <row r="20" spans="1:218" ht="20.100000000000001" customHeight="1">
      <c r="A20" s="539"/>
      <c r="B20" s="683"/>
      <c r="C20" s="674"/>
      <c r="D20" s="570"/>
      <c r="E20" s="675"/>
      <c r="F20" s="676"/>
      <c r="G20" s="677"/>
      <c r="H20" s="574"/>
      <c r="I20" s="678"/>
      <c r="J20" s="574"/>
      <c r="K20" s="678"/>
      <c r="L20" s="574"/>
      <c r="M20" s="678"/>
      <c r="N20" s="574"/>
      <c r="O20" s="678"/>
      <c r="P20" s="574"/>
      <c r="Q20" s="678"/>
      <c r="R20" s="574"/>
      <c r="S20" s="678"/>
      <c r="T20" s="574"/>
      <c r="U20" s="678"/>
      <c r="V20" s="574"/>
      <c r="W20" s="678"/>
      <c r="X20" s="574"/>
      <c r="Y20" s="678"/>
      <c r="Z20" s="574"/>
      <c r="AA20" s="678"/>
      <c r="AB20" s="574"/>
      <c r="AC20" s="678"/>
      <c r="AD20" s="574"/>
      <c r="AE20" s="678"/>
      <c r="AF20" s="574"/>
      <c r="AG20" s="678"/>
      <c r="AH20" s="574"/>
      <c r="AI20" s="678"/>
      <c r="AJ20" s="574"/>
      <c r="AK20" s="678"/>
      <c r="AL20" s="574"/>
      <c r="AM20" s="678"/>
      <c r="AN20" s="574"/>
      <c r="AO20" s="678"/>
      <c r="AP20" s="574"/>
      <c r="AQ20" s="678"/>
      <c r="AR20" s="574"/>
      <c r="AS20" s="678"/>
      <c r="AT20" s="574"/>
      <c r="AU20" s="678"/>
      <c r="AV20" s="574"/>
      <c r="AW20" s="678"/>
      <c r="AX20" s="574"/>
      <c r="AY20" s="678"/>
      <c r="AZ20" s="574"/>
      <c r="BA20" s="678"/>
      <c r="BB20" s="576"/>
      <c r="BC20" s="549"/>
      <c r="BD20" s="539"/>
      <c r="BE20" s="683"/>
      <c r="BF20" s="674"/>
      <c r="BG20" s="570"/>
      <c r="BH20" s="675"/>
      <c r="BI20" s="676"/>
      <c r="BJ20" s="677"/>
      <c r="BK20" s="574"/>
      <c r="BL20" s="678"/>
      <c r="BM20" s="574"/>
      <c r="BN20" s="678"/>
      <c r="BO20" s="574"/>
      <c r="BP20" s="678"/>
      <c r="BQ20" s="574"/>
      <c r="BR20" s="678"/>
      <c r="BS20" s="574"/>
      <c r="BT20" s="678"/>
      <c r="BU20" s="574"/>
      <c r="BV20" s="678"/>
      <c r="BW20" s="574"/>
      <c r="BX20" s="678"/>
      <c r="BY20" s="574"/>
      <c r="BZ20" s="678"/>
      <c r="CA20" s="574"/>
      <c r="CB20" s="678"/>
      <c r="CC20" s="574"/>
      <c r="CD20" s="678"/>
      <c r="CE20" s="574"/>
      <c r="CF20" s="678"/>
      <c r="CG20" s="574"/>
      <c r="CH20" s="678"/>
      <c r="CI20" s="574"/>
      <c r="CJ20" s="678"/>
      <c r="CK20" s="574"/>
      <c r="CL20" s="678"/>
      <c r="CM20" s="574"/>
      <c r="CN20" s="678"/>
      <c r="CO20" s="574"/>
      <c r="CP20" s="678"/>
      <c r="CQ20" s="574"/>
      <c r="CR20" s="678"/>
      <c r="CS20" s="574"/>
      <c r="CT20" s="678"/>
      <c r="CU20" s="574"/>
      <c r="CV20" s="678"/>
      <c r="CW20" s="574"/>
      <c r="CX20" s="678"/>
      <c r="CY20" s="574"/>
      <c r="CZ20" s="678"/>
      <c r="DA20" s="574"/>
      <c r="DB20" s="678"/>
      <c r="DC20" s="574"/>
      <c r="DD20" s="678"/>
      <c r="DE20" s="576"/>
      <c r="DF20" s="549"/>
      <c r="DG20" s="539"/>
      <c r="DH20" s="683"/>
      <c r="DI20" s="674"/>
      <c r="DJ20" s="570"/>
      <c r="DK20" s="675"/>
      <c r="DL20" s="676"/>
      <c r="DM20" s="677"/>
      <c r="DN20" s="574"/>
      <c r="DO20" s="678"/>
      <c r="DP20" s="574"/>
      <c r="DQ20" s="678"/>
      <c r="DR20" s="574"/>
      <c r="DS20" s="678"/>
      <c r="DT20" s="574"/>
      <c r="DU20" s="678"/>
      <c r="DV20" s="574"/>
      <c r="DW20" s="678"/>
      <c r="DX20" s="574"/>
      <c r="DY20" s="678"/>
      <c r="DZ20" s="574"/>
      <c r="EA20" s="678"/>
      <c r="EB20" s="574"/>
      <c r="EC20" s="678"/>
      <c r="ED20" s="574"/>
      <c r="EE20" s="678"/>
      <c r="EF20" s="574"/>
      <c r="EG20" s="678"/>
      <c r="EH20" s="574"/>
      <c r="EI20" s="678"/>
      <c r="EJ20" s="574"/>
      <c r="EK20" s="678"/>
      <c r="EL20" s="574"/>
      <c r="EM20" s="678"/>
      <c r="EN20" s="574"/>
      <c r="EO20" s="678"/>
      <c r="EP20" s="574"/>
      <c r="EQ20" s="678"/>
      <c r="ER20" s="574"/>
      <c r="ES20" s="678"/>
      <c r="ET20" s="574"/>
      <c r="EU20" s="678"/>
      <c r="EV20" s="574"/>
      <c r="EW20" s="678"/>
      <c r="EX20" s="574"/>
      <c r="EY20" s="678"/>
      <c r="EZ20" s="574"/>
      <c r="FA20" s="678"/>
      <c r="FB20" s="574"/>
      <c r="FC20" s="678"/>
      <c r="FD20" s="574"/>
      <c r="FE20" s="678"/>
      <c r="FF20" s="574"/>
      <c r="FG20" s="678"/>
      <c r="FH20" s="576"/>
      <c r="FI20" s="550"/>
      <c r="FJ20" s="551"/>
      <c r="FK20" s="683"/>
      <c r="FL20" s="674"/>
      <c r="FM20" s="570"/>
      <c r="FN20" s="675"/>
      <c r="FO20" s="676"/>
      <c r="FP20" s="679"/>
      <c r="FQ20" s="680"/>
      <c r="FR20" s="574"/>
      <c r="FS20" s="681"/>
      <c r="FT20" s="680"/>
      <c r="FU20" s="579"/>
      <c r="FV20" s="580"/>
      <c r="FW20" s="581"/>
      <c r="FX20" s="582"/>
      <c r="FY20" s="583"/>
      <c r="FZ20" s="584"/>
      <c r="GA20" s="585"/>
      <c r="GB20" s="586"/>
      <c r="GC20" s="587"/>
      <c r="GD20" s="586"/>
      <c r="GE20" s="588"/>
      <c r="GF20" s="671"/>
      <c r="GG20" s="589"/>
      <c r="GH20" s="589"/>
      <c r="GI20" s="589"/>
      <c r="GJ20" s="400"/>
      <c r="GK20" s="615"/>
      <c r="GL20" s="616"/>
      <c r="GM20" s="617"/>
      <c r="GN20" s="618"/>
      <c r="GO20" s="619"/>
      <c r="GP20" s="643"/>
      <c r="GQ20" s="620">
        <v>0</v>
      </c>
      <c r="GR20" s="621">
        <v>0</v>
      </c>
      <c r="GS20" s="404"/>
      <c r="GT20" s="644"/>
      <c r="GU20" s="615"/>
      <c r="GV20" s="616"/>
      <c r="GW20" s="622"/>
      <c r="GX20" s="623"/>
      <c r="GY20" s="624"/>
      <c r="GZ20" s="625"/>
      <c r="HA20" s="626">
        <v>0</v>
      </c>
      <c r="HB20" s="627"/>
      <c r="HC20" s="400"/>
      <c r="HD20" s="549"/>
      <c r="HE20" s="406"/>
      <c r="HF20" s="406"/>
      <c r="HG20" s="406"/>
    </row>
    <row r="21" spans="1:218" ht="20.100000000000001" customHeight="1">
      <c r="A21" s="539"/>
      <c r="B21" s="683"/>
      <c r="C21" s="674"/>
      <c r="D21" s="570"/>
      <c r="E21" s="675"/>
      <c r="F21" s="676"/>
      <c r="G21" s="677"/>
      <c r="H21" s="574"/>
      <c r="I21" s="678"/>
      <c r="J21" s="574"/>
      <c r="K21" s="678"/>
      <c r="L21" s="574"/>
      <c r="M21" s="678"/>
      <c r="N21" s="574"/>
      <c r="O21" s="678"/>
      <c r="P21" s="574"/>
      <c r="Q21" s="678"/>
      <c r="R21" s="574"/>
      <c r="S21" s="678"/>
      <c r="T21" s="574"/>
      <c r="U21" s="678"/>
      <c r="V21" s="574"/>
      <c r="W21" s="678"/>
      <c r="X21" s="574"/>
      <c r="Y21" s="678"/>
      <c r="Z21" s="574"/>
      <c r="AA21" s="678"/>
      <c r="AB21" s="574"/>
      <c r="AC21" s="678"/>
      <c r="AD21" s="574"/>
      <c r="AE21" s="678"/>
      <c r="AF21" s="574"/>
      <c r="AG21" s="678"/>
      <c r="AH21" s="574"/>
      <c r="AI21" s="678"/>
      <c r="AJ21" s="574"/>
      <c r="AK21" s="678"/>
      <c r="AL21" s="574"/>
      <c r="AM21" s="678"/>
      <c r="AN21" s="574"/>
      <c r="AO21" s="678"/>
      <c r="AP21" s="574"/>
      <c r="AQ21" s="678"/>
      <c r="AR21" s="574"/>
      <c r="AS21" s="678"/>
      <c r="AT21" s="574"/>
      <c r="AU21" s="678"/>
      <c r="AV21" s="574"/>
      <c r="AW21" s="678"/>
      <c r="AX21" s="574"/>
      <c r="AY21" s="678"/>
      <c r="AZ21" s="574"/>
      <c r="BA21" s="678"/>
      <c r="BB21" s="576"/>
      <c r="BC21" s="549"/>
      <c r="BD21" s="539"/>
      <c r="BE21" s="683"/>
      <c r="BF21" s="674"/>
      <c r="BG21" s="570"/>
      <c r="BH21" s="675"/>
      <c r="BI21" s="676"/>
      <c r="BJ21" s="677"/>
      <c r="BK21" s="574"/>
      <c r="BL21" s="678"/>
      <c r="BM21" s="574"/>
      <c r="BN21" s="678"/>
      <c r="BO21" s="574"/>
      <c r="BP21" s="678"/>
      <c r="BQ21" s="574"/>
      <c r="BR21" s="678"/>
      <c r="BS21" s="574"/>
      <c r="BT21" s="678"/>
      <c r="BU21" s="574"/>
      <c r="BV21" s="678"/>
      <c r="BW21" s="574"/>
      <c r="BX21" s="678"/>
      <c r="BY21" s="574"/>
      <c r="BZ21" s="678"/>
      <c r="CA21" s="574"/>
      <c r="CB21" s="678"/>
      <c r="CC21" s="574"/>
      <c r="CD21" s="678"/>
      <c r="CE21" s="574"/>
      <c r="CF21" s="678"/>
      <c r="CG21" s="574"/>
      <c r="CH21" s="678"/>
      <c r="CI21" s="574"/>
      <c r="CJ21" s="678"/>
      <c r="CK21" s="574"/>
      <c r="CL21" s="678"/>
      <c r="CM21" s="574"/>
      <c r="CN21" s="678"/>
      <c r="CO21" s="574"/>
      <c r="CP21" s="678"/>
      <c r="CQ21" s="574"/>
      <c r="CR21" s="678"/>
      <c r="CS21" s="574"/>
      <c r="CT21" s="678"/>
      <c r="CU21" s="574"/>
      <c r="CV21" s="678"/>
      <c r="CW21" s="574"/>
      <c r="CX21" s="678"/>
      <c r="CY21" s="574"/>
      <c r="CZ21" s="678"/>
      <c r="DA21" s="574"/>
      <c r="DB21" s="678"/>
      <c r="DC21" s="574"/>
      <c r="DD21" s="678"/>
      <c r="DE21" s="576"/>
      <c r="DF21" s="549"/>
      <c r="DG21" s="539"/>
      <c r="DH21" s="683"/>
      <c r="DI21" s="674"/>
      <c r="DJ21" s="570"/>
      <c r="DK21" s="675"/>
      <c r="DL21" s="676"/>
      <c r="DM21" s="677"/>
      <c r="DN21" s="574"/>
      <c r="DO21" s="678"/>
      <c r="DP21" s="574"/>
      <c r="DQ21" s="678"/>
      <c r="DR21" s="574"/>
      <c r="DS21" s="678"/>
      <c r="DT21" s="574"/>
      <c r="DU21" s="678"/>
      <c r="DV21" s="574"/>
      <c r="DW21" s="678"/>
      <c r="DX21" s="574"/>
      <c r="DY21" s="678"/>
      <c r="DZ21" s="574"/>
      <c r="EA21" s="678"/>
      <c r="EB21" s="574"/>
      <c r="EC21" s="678"/>
      <c r="ED21" s="574"/>
      <c r="EE21" s="678"/>
      <c r="EF21" s="574"/>
      <c r="EG21" s="678"/>
      <c r="EH21" s="574"/>
      <c r="EI21" s="678"/>
      <c r="EJ21" s="574"/>
      <c r="EK21" s="678"/>
      <c r="EL21" s="574"/>
      <c r="EM21" s="678"/>
      <c r="EN21" s="574"/>
      <c r="EO21" s="678"/>
      <c r="EP21" s="574"/>
      <c r="EQ21" s="678"/>
      <c r="ER21" s="574"/>
      <c r="ES21" s="678"/>
      <c r="ET21" s="574"/>
      <c r="EU21" s="678"/>
      <c r="EV21" s="574"/>
      <c r="EW21" s="678"/>
      <c r="EX21" s="574"/>
      <c r="EY21" s="678"/>
      <c r="EZ21" s="574"/>
      <c r="FA21" s="678"/>
      <c r="FB21" s="574"/>
      <c r="FC21" s="678"/>
      <c r="FD21" s="574"/>
      <c r="FE21" s="678"/>
      <c r="FF21" s="574"/>
      <c r="FG21" s="678"/>
      <c r="FH21" s="576"/>
      <c r="FI21" s="550"/>
      <c r="FJ21" s="551"/>
      <c r="FK21" s="683"/>
      <c r="FL21" s="674"/>
      <c r="FM21" s="570"/>
      <c r="FN21" s="675"/>
      <c r="FO21" s="676"/>
      <c r="FP21" s="679"/>
      <c r="FQ21" s="680"/>
      <c r="FR21" s="574"/>
      <c r="FS21" s="681"/>
      <c r="FT21" s="680"/>
      <c r="FU21" s="579"/>
      <c r="FV21" s="580"/>
      <c r="FW21" s="581"/>
      <c r="FX21" s="582"/>
      <c r="FY21" s="583"/>
      <c r="FZ21" s="584"/>
      <c r="GA21" s="585"/>
      <c r="GB21" s="586"/>
      <c r="GC21" s="587"/>
      <c r="GD21" s="586"/>
      <c r="GE21" s="588"/>
      <c r="GF21" s="671"/>
      <c r="GG21" s="589"/>
      <c r="GH21" s="589"/>
      <c r="GI21" s="589"/>
      <c r="GJ21" s="400"/>
      <c r="GK21" s="684" t="s">
        <v>433</v>
      </c>
      <c r="GL21" s="685"/>
      <c r="GM21" s="686"/>
      <c r="GN21" s="625">
        <v>0</v>
      </c>
      <c r="GO21" s="687"/>
      <c r="GP21" s="688"/>
      <c r="GQ21" s="620">
        <v>0</v>
      </c>
      <c r="GR21" s="621">
        <v>0</v>
      </c>
      <c r="GS21" s="565"/>
      <c r="GT21" s="660"/>
      <c r="GU21" s="684" t="s">
        <v>433</v>
      </c>
      <c r="GV21" s="685"/>
      <c r="GW21" s="686"/>
      <c r="GX21" s="689">
        <v>0</v>
      </c>
      <c r="GY21" s="690"/>
      <c r="GZ21" s="687"/>
      <c r="HA21" s="691">
        <v>0</v>
      </c>
      <c r="HB21" s="692"/>
      <c r="HC21" s="693"/>
      <c r="HD21" s="549"/>
      <c r="HE21" s="602"/>
      <c r="HF21" s="602"/>
      <c r="HG21" s="406"/>
    </row>
    <row r="22" spans="1:218" ht="20.100000000000001" customHeight="1">
      <c r="A22" s="539"/>
      <c r="B22" s="683"/>
      <c r="C22" s="674"/>
      <c r="D22" s="570"/>
      <c r="E22" s="675"/>
      <c r="F22" s="676"/>
      <c r="G22" s="677"/>
      <c r="H22" s="574"/>
      <c r="I22" s="678"/>
      <c r="J22" s="574"/>
      <c r="K22" s="678"/>
      <c r="L22" s="574"/>
      <c r="M22" s="678"/>
      <c r="N22" s="574"/>
      <c r="O22" s="678"/>
      <c r="P22" s="574"/>
      <c r="Q22" s="678"/>
      <c r="R22" s="574"/>
      <c r="S22" s="678"/>
      <c r="T22" s="574"/>
      <c r="U22" s="678"/>
      <c r="V22" s="574"/>
      <c r="W22" s="678"/>
      <c r="X22" s="574"/>
      <c r="Y22" s="678"/>
      <c r="Z22" s="574"/>
      <c r="AA22" s="678"/>
      <c r="AB22" s="574"/>
      <c r="AC22" s="678"/>
      <c r="AD22" s="574"/>
      <c r="AE22" s="678"/>
      <c r="AF22" s="574"/>
      <c r="AG22" s="678"/>
      <c r="AH22" s="574"/>
      <c r="AI22" s="678"/>
      <c r="AJ22" s="574"/>
      <c r="AK22" s="678"/>
      <c r="AL22" s="574"/>
      <c r="AM22" s="678"/>
      <c r="AN22" s="574"/>
      <c r="AO22" s="678"/>
      <c r="AP22" s="574"/>
      <c r="AQ22" s="678"/>
      <c r="AR22" s="574"/>
      <c r="AS22" s="678"/>
      <c r="AT22" s="574"/>
      <c r="AU22" s="678"/>
      <c r="AV22" s="574"/>
      <c r="AW22" s="678"/>
      <c r="AX22" s="574"/>
      <c r="AY22" s="678"/>
      <c r="AZ22" s="574"/>
      <c r="BA22" s="678"/>
      <c r="BB22" s="576"/>
      <c r="BC22" s="549"/>
      <c r="BD22" s="539"/>
      <c r="BE22" s="683"/>
      <c r="BF22" s="674"/>
      <c r="BG22" s="570"/>
      <c r="BH22" s="675"/>
      <c r="BI22" s="676"/>
      <c r="BJ22" s="677"/>
      <c r="BK22" s="574"/>
      <c r="BL22" s="678"/>
      <c r="BM22" s="574"/>
      <c r="BN22" s="678"/>
      <c r="BO22" s="574"/>
      <c r="BP22" s="678"/>
      <c r="BQ22" s="574"/>
      <c r="BR22" s="678"/>
      <c r="BS22" s="574"/>
      <c r="BT22" s="678"/>
      <c r="BU22" s="574"/>
      <c r="BV22" s="678"/>
      <c r="BW22" s="574"/>
      <c r="BX22" s="678"/>
      <c r="BY22" s="574"/>
      <c r="BZ22" s="678"/>
      <c r="CA22" s="574"/>
      <c r="CB22" s="678"/>
      <c r="CC22" s="574"/>
      <c r="CD22" s="678"/>
      <c r="CE22" s="574"/>
      <c r="CF22" s="678"/>
      <c r="CG22" s="574"/>
      <c r="CH22" s="678"/>
      <c r="CI22" s="574"/>
      <c r="CJ22" s="678"/>
      <c r="CK22" s="574"/>
      <c r="CL22" s="678"/>
      <c r="CM22" s="574"/>
      <c r="CN22" s="678"/>
      <c r="CO22" s="574"/>
      <c r="CP22" s="678"/>
      <c r="CQ22" s="574"/>
      <c r="CR22" s="678"/>
      <c r="CS22" s="574"/>
      <c r="CT22" s="678"/>
      <c r="CU22" s="574"/>
      <c r="CV22" s="678"/>
      <c r="CW22" s="574"/>
      <c r="CX22" s="678"/>
      <c r="CY22" s="574"/>
      <c r="CZ22" s="678"/>
      <c r="DA22" s="574"/>
      <c r="DB22" s="678"/>
      <c r="DC22" s="574"/>
      <c r="DD22" s="678"/>
      <c r="DE22" s="576"/>
      <c r="DF22" s="549"/>
      <c r="DG22" s="539"/>
      <c r="DH22" s="683"/>
      <c r="DI22" s="674"/>
      <c r="DJ22" s="570"/>
      <c r="DK22" s="675"/>
      <c r="DL22" s="676"/>
      <c r="DM22" s="677"/>
      <c r="DN22" s="574"/>
      <c r="DO22" s="678"/>
      <c r="DP22" s="574"/>
      <c r="DQ22" s="678"/>
      <c r="DR22" s="574"/>
      <c r="DS22" s="678"/>
      <c r="DT22" s="574"/>
      <c r="DU22" s="678"/>
      <c r="DV22" s="574"/>
      <c r="DW22" s="678"/>
      <c r="DX22" s="574"/>
      <c r="DY22" s="678"/>
      <c r="DZ22" s="574"/>
      <c r="EA22" s="678"/>
      <c r="EB22" s="574"/>
      <c r="EC22" s="678"/>
      <c r="ED22" s="574"/>
      <c r="EE22" s="678"/>
      <c r="EF22" s="574"/>
      <c r="EG22" s="678"/>
      <c r="EH22" s="574"/>
      <c r="EI22" s="678"/>
      <c r="EJ22" s="574"/>
      <c r="EK22" s="678"/>
      <c r="EL22" s="574"/>
      <c r="EM22" s="678"/>
      <c r="EN22" s="574"/>
      <c r="EO22" s="678"/>
      <c r="EP22" s="574"/>
      <c r="EQ22" s="678"/>
      <c r="ER22" s="574"/>
      <c r="ES22" s="678"/>
      <c r="ET22" s="574"/>
      <c r="EU22" s="678"/>
      <c r="EV22" s="574"/>
      <c r="EW22" s="678"/>
      <c r="EX22" s="574"/>
      <c r="EY22" s="678"/>
      <c r="EZ22" s="574"/>
      <c r="FA22" s="678"/>
      <c r="FB22" s="574"/>
      <c r="FC22" s="678"/>
      <c r="FD22" s="574"/>
      <c r="FE22" s="678"/>
      <c r="FF22" s="574"/>
      <c r="FG22" s="678"/>
      <c r="FH22" s="576"/>
      <c r="FI22" s="550"/>
      <c r="FJ22" s="551"/>
      <c r="FK22" s="683"/>
      <c r="FL22" s="674"/>
      <c r="FM22" s="570"/>
      <c r="FN22" s="675"/>
      <c r="FO22" s="676"/>
      <c r="FP22" s="679"/>
      <c r="FQ22" s="680"/>
      <c r="FR22" s="574"/>
      <c r="FS22" s="681"/>
      <c r="FT22" s="680"/>
      <c r="FU22" s="579"/>
      <c r="FV22" s="580"/>
      <c r="FW22" s="581"/>
      <c r="FX22" s="582"/>
      <c r="FY22" s="583"/>
      <c r="FZ22" s="584"/>
      <c r="GA22" s="585"/>
      <c r="GB22" s="586"/>
      <c r="GC22" s="587"/>
      <c r="GD22" s="586"/>
      <c r="GE22" s="588"/>
      <c r="GF22" s="671"/>
      <c r="GG22" s="589"/>
      <c r="GH22" s="589"/>
      <c r="GI22" s="589"/>
      <c r="GJ22" s="517"/>
      <c r="GK22" s="694" t="s">
        <v>434</v>
      </c>
      <c r="GL22" s="695"/>
      <c r="GM22" s="695"/>
      <c r="GN22" s="696"/>
      <c r="GO22" s="620">
        <v>0</v>
      </c>
      <c r="GP22" s="620">
        <v>1</v>
      </c>
      <c r="GQ22" s="697"/>
      <c r="GR22" s="698"/>
      <c r="GS22" s="565"/>
      <c r="GT22" s="660"/>
      <c r="GU22" s="694" t="s">
        <v>434</v>
      </c>
      <c r="GV22" s="695"/>
      <c r="GW22" s="695"/>
      <c r="GX22" s="695"/>
      <c r="GY22" s="696"/>
      <c r="GZ22" s="620">
        <v>0</v>
      </c>
      <c r="HA22" s="699"/>
      <c r="HB22" s="700"/>
      <c r="HC22" s="404"/>
      <c r="HD22" s="549"/>
      <c r="HE22" s="406"/>
      <c r="HF22" s="406"/>
      <c r="HG22" s="406"/>
    </row>
    <row r="23" spans="1:218" ht="20.100000000000001" customHeight="1">
      <c r="A23" s="539"/>
      <c r="B23" s="683"/>
      <c r="C23" s="674"/>
      <c r="D23" s="570"/>
      <c r="E23" s="675"/>
      <c r="F23" s="676"/>
      <c r="G23" s="677"/>
      <c r="H23" s="574"/>
      <c r="I23" s="678"/>
      <c r="J23" s="574"/>
      <c r="K23" s="678"/>
      <c r="L23" s="574"/>
      <c r="M23" s="678"/>
      <c r="N23" s="574"/>
      <c r="O23" s="678"/>
      <c r="P23" s="574"/>
      <c r="Q23" s="678"/>
      <c r="R23" s="574"/>
      <c r="S23" s="678"/>
      <c r="T23" s="574"/>
      <c r="U23" s="678"/>
      <c r="V23" s="574"/>
      <c r="W23" s="678"/>
      <c r="X23" s="574"/>
      <c r="Y23" s="678"/>
      <c r="Z23" s="574"/>
      <c r="AA23" s="678"/>
      <c r="AB23" s="574"/>
      <c r="AC23" s="678"/>
      <c r="AD23" s="574"/>
      <c r="AE23" s="678"/>
      <c r="AF23" s="574"/>
      <c r="AG23" s="678"/>
      <c r="AH23" s="574"/>
      <c r="AI23" s="678"/>
      <c r="AJ23" s="574"/>
      <c r="AK23" s="678"/>
      <c r="AL23" s="574"/>
      <c r="AM23" s="678"/>
      <c r="AN23" s="574"/>
      <c r="AO23" s="678"/>
      <c r="AP23" s="574"/>
      <c r="AQ23" s="678"/>
      <c r="AR23" s="574"/>
      <c r="AS23" s="678"/>
      <c r="AT23" s="574"/>
      <c r="AU23" s="678"/>
      <c r="AV23" s="574"/>
      <c r="AW23" s="678"/>
      <c r="AX23" s="574"/>
      <c r="AY23" s="678"/>
      <c r="AZ23" s="574"/>
      <c r="BA23" s="678"/>
      <c r="BB23" s="576"/>
      <c r="BC23" s="549"/>
      <c r="BD23" s="539"/>
      <c r="BE23" s="683"/>
      <c r="BF23" s="674"/>
      <c r="BG23" s="570"/>
      <c r="BH23" s="675"/>
      <c r="BI23" s="676"/>
      <c r="BJ23" s="677"/>
      <c r="BK23" s="574"/>
      <c r="BL23" s="678"/>
      <c r="BM23" s="574"/>
      <c r="BN23" s="678"/>
      <c r="BO23" s="574"/>
      <c r="BP23" s="678"/>
      <c r="BQ23" s="574"/>
      <c r="BR23" s="678"/>
      <c r="BS23" s="574"/>
      <c r="BT23" s="678"/>
      <c r="BU23" s="574"/>
      <c r="BV23" s="678"/>
      <c r="BW23" s="574"/>
      <c r="BX23" s="678"/>
      <c r="BY23" s="574"/>
      <c r="BZ23" s="678"/>
      <c r="CA23" s="574"/>
      <c r="CB23" s="678"/>
      <c r="CC23" s="574"/>
      <c r="CD23" s="678"/>
      <c r="CE23" s="574"/>
      <c r="CF23" s="678"/>
      <c r="CG23" s="574"/>
      <c r="CH23" s="678"/>
      <c r="CI23" s="574"/>
      <c r="CJ23" s="678"/>
      <c r="CK23" s="574"/>
      <c r="CL23" s="678"/>
      <c r="CM23" s="574"/>
      <c r="CN23" s="678"/>
      <c r="CO23" s="574"/>
      <c r="CP23" s="678"/>
      <c r="CQ23" s="574"/>
      <c r="CR23" s="678"/>
      <c r="CS23" s="574"/>
      <c r="CT23" s="678"/>
      <c r="CU23" s="574"/>
      <c r="CV23" s="678"/>
      <c r="CW23" s="574"/>
      <c r="CX23" s="678"/>
      <c r="CY23" s="574"/>
      <c r="CZ23" s="678"/>
      <c r="DA23" s="574"/>
      <c r="DB23" s="678"/>
      <c r="DC23" s="574"/>
      <c r="DD23" s="678"/>
      <c r="DE23" s="576"/>
      <c r="DF23" s="549"/>
      <c r="DG23" s="539"/>
      <c r="DH23" s="683"/>
      <c r="DI23" s="674"/>
      <c r="DJ23" s="570"/>
      <c r="DK23" s="675"/>
      <c r="DL23" s="676"/>
      <c r="DM23" s="677"/>
      <c r="DN23" s="574"/>
      <c r="DO23" s="678"/>
      <c r="DP23" s="574"/>
      <c r="DQ23" s="678"/>
      <c r="DR23" s="574"/>
      <c r="DS23" s="678"/>
      <c r="DT23" s="574"/>
      <c r="DU23" s="678"/>
      <c r="DV23" s="574"/>
      <c r="DW23" s="678"/>
      <c r="DX23" s="574"/>
      <c r="DY23" s="678"/>
      <c r="DZ23" s="574"/>
      <c r="EA23" s="678"/>
      <c r="EB23" s="574"/>
      <c r="EC23" s="678"/>
      <c r="ED23" s="574"/>
      <c r="EE23" s="678"/>
      <c r="EF23" s="574"/>
      <c r="EG23" s="678"/>
      <c r="EH23" s="574"/>
      <c r="EI23" s="678"/>
      <c r="EJ23" s="574"/>
      <c r="EK23" s="678"/>
      <c r="EL23" s="574"/>
      <c r="EM23" s="678"/>
      <c r="EN23" s="574"/>
      <c r="EO23" s="678"/>
      <c r="EP23" s="574"/>
      <c r="EQ23" s="678"/>
      <c r="ER23" s="574"/>
      <c r="ES23" s="678"/>
      <c r="ET23" s="574"/>
      <c r="EU23" s="678"/>
      <c r="EV23" s="574"/>
      <c r="EW23" s="678"/>
      <c r="EX23" s="574"/>
      <c r="EY23" s="678"/>
      <c r="EZ23" s="574"/>
      <c r="FA23" s="678"/>
      <c r="FB23" s="574"/>
      <c r="FC23" s="678"/>
      <c r="FD23" s="574"/>
      <c r="FE23" s="678"/>
      <c r="FF23" s="574"/>
      <c r="FG23" s="678"/>
      <c r="FH23" s="576"/>
      <c r="FI23" s="550"/>
      <c r="FJ23" s="551"/>
      <c r="FK23" s="683"/>
      <c r="FL23" s="674"/>
      <c r="FM23" s="570"/>
      <c r="FN23" s="675"/>
      <c r="FO23" s="676"/>
      <c r="FP23" s="679"/>
      <c r="FQ23" s="680"/>
      <c r="FR23" s="574"/>
      <c r="FS23" s="681"/>
      <c r="FT23" s="680"/>
      <c r="FU23" s="579"/>
      <c r="FV23" s="580"/>
      <c r="FW23" s="581"/>
      <c r="FX23" s="582"/>
      <c r="FY23" s="583"/>
      <c r="FZ23" s="584"/>
      <c r="GA23" s="585"/>
      <c r="GB23" s="586"/>
      <c r="GC23" s="587"/>
      <c r="GD23" s="586"/>
      <c r="GE23" s="588"/>
      <c r="GF23" s="671"/>
      <c r="GG23" s="589"/>
      <c r="GH23" s="589"/>
      <c r="GI23" s="589"/>
      <c r="GJ23" s="602"/>
      <c r="GK23" s="567" t="s">
        <v>435</v>
      </c>
      <c r="GL23" s="596"/>
      <c r="GM23" s="701"/>
      <c r="GN23" s="702">
        <v>37.35</v>
      </c>
      <c r="GO23" s="487" t="s">
        <v>436</v>
      </c>
      <c r="GP23" s="702"/>
      <c r="GQ23" s="596"/>
      <c r="GR23" s="602"/>
      <c r="GS23" s="565"/>
      <c r="GT23" s="660"/>
      <c r="GU23" s="596"/>
      <c r="GV23" s="517"/>
      <c r="GW23" s="596"/>
      <c r="GX23" s="596"/>
      <c r="GY23" s="703"/>
      <c r="GZ23" s="704"/>
      <c r="HA23" s="404"/>
      <c r="HB23" s="704" t="s">
        <v>437</v>
      </c>
      <c r="HC23" s="602"/>
      <c r="HD23" s="549"/>
      <c r="HE23" s="404"/>
      <c r="HF23" s="404"/>
      <c r="HG23" s="406"/>
    </row>
    <row r="24" spans="1:218" ht="20.100000000000001" customHeight="1">
      <c r="A24" s="539"/>
      <c r="B24" s="683"/>
      <c r="C24" s="674"/>
      <c r="D24" s="570"/>
      <c r="E24" s="675"/>
      <c r="F24" s="676"/>
      <c r="G24" s="677"/>
      <c r="H24" s="574"/>
      <c r="I24" s="678"/>
      <c r="J24" s="574"/>
      <c r="K24" s="678"/>
      <c r="L24" s="574"/>
      <c r="M24" s="678"/>
      <c r="N24" s="574"/>
      <c r="O24" s="678"/>
      <c r="P24" s="574"/>
      <c r="Q24" s="678"/>
      <c r="R24" s="574"/>
      <c r="S24" s="678"/>
      <c r="T24" s="574"/>
      <c r="U24" s="678"/>
      <c r="V24" s="574"/>
      <c r="W24" s="678"/>
      <c r="X24" s="574"/>
      <c r="Y24" s="678"/>
      <c r="Z24" s="574"/>
      <c r="AA24" s="678"/>
      <c r="AB24" s="574"/>
      <c r="AC24" s="678"/>
      <c r="AD24" s="574"/>
      <c r="AE24" s="678"/>
      <c r="AF24" s="574"/>
      <c r="AG24" s="678"/>
      <c r="AH24" s="574"/>
      <c r="AI24" s="678"/>
      <c r="AJ24" s="574"/>
      <c r="AK24" s="678"/>
      <c r="AL24" s="574"/>
      <c r="AM24" s="678"/>
      <c r="AN24" s="574"/>
      <c r="AO24" s="678"/>
      <c r="AP24" s="574"/>
      <c r="AQ24" s="678"/>
      <c r="AR24" s="574"/>
      <c r="AS24" s="678"/>
      <c r="AT24" s="574"/>
      <c r="AU24" s="678"/>
      <c r="AV24" s="574"/>
      <c r="AW24" s="678"/>
      <c r="AX24" s="574"/>
      <c r="AY24" s="678"/>
      <c r="AZ24" s="574"/>
      <c r="BA24" s="678"/>
      <c r="BB24" s="576"/>
      <c r="BC24" s="549"/>
      <c r="BD24" s="539"/>
      <c r="BE24" s="683"/>
      <c r="BF24" s="674"/>
      <c r="BG24" s="570"/>
      <c r="BH24" s="675"/>
      <c r="BI24" s="676"/>
      <c r="BJ24" s="677"/>
      <c r="BK24" s="574"/>
      <c r="BL24" s="678"/>
      <c r="BM24" s="574"/>
      <c r="BN24" s="678"/>
      <c r="BO24" s="574"/>
      <c r="BP24" s="678"/>
      <c r="BQ24" s="574"/>
      <c r="BR24" s="678"/>
      <c r="BS24" s="574"/>
      <c r="BT24" s="678"/>
      <c r="BU24" s="574"/>
      <c r="BV24" s="678"/>
      <c r="BW24" s="574"/>
      <c r="BX24" s="678"/>
      <c r="BY24" s="574"/>
      <c r="BZ24" s="678"/>
      <c r="CA24" s="574"/>
      <c r="CB24" s="678"/>
      <c r="CC24" s="574"/>
      <c r="CD24" s="678"/>
      <c r="CE24" s="574"/>
      <c r="CF24" s="678"/>
      <c r="CG24" s="574"/>
      <c r="CH24" s="678"/>
      <c r="CI24" s="574"/>
      <c r="CJ24" s="678"/>
      <c r="CK24" s="574"/>
      <c r="CL24" s="678"/>
      <c r="CM24" s="574"/>
      <c r="CN24" s="678"/>
      <c r="CO24" s="574"/>
      <c r="CP24" s="678"/>
      <c r="CQ24" s="574"/>
      <c r="CR24" s="678"/>
      <c r="CS24" s="574"/>
      <c r="CT24" s="678"/>
      <c r="CU24" s="574"/>
      <c r="CV24" s="678"/>
      <c r="CW24" s="574"/>
      <c r="CX24" s="678"/>
      <c r="CY24" s="574"/>
      <c r="CZ24" s="678"/>
      <c r="DA24" s="574"/>
      <c r="DB24" s="678"/>
      <c r="DC24" s="574"/>
      <c r="DD24" s="678"/>
      <c r="DE24" s="576"/>
      <c r="DF24" s="549"/>
      <c r="DG24" s="539"/>
      <c r="DH24" s="683"/>
      <c r="DI24" s="674"/>
      <c r="DJ24" s="570"/>
      <c r="DK24" s="675"/>
      <c r="DL24" s="676"/>
      <c r="DM24" s="677"/>
      <c r="DN24" s="574"/>
      <c r="DO24" s="678"/>
      <c r="DP24" s="574"/>
      <c r="DQ24" s="678"/>
      <c r="DR24" s="574"/>
      <c r="DS24" s="678"/>
      <c r="DT24" s="574"/>
      <c r="DU24" s="678"/>
      <c r="DV24" s="574"/>
      <c r="DW24" s="678"/>
      <c r="DX24" s="574"/>
      <c r="DY24" s="678"/>
      <c r="DZ24" s="574"/>
      <c r="EA24" s="678"/>
      <c r="EB24" s="574"/>
      <c r="EC24" s="678"/>
      <c r="ED24" s="574"/>
      <c r="EE24" s="678"/>
      <c r="EF24" s="574"/>
      <c r="EG24" s="678"/>
      <c r="EH24" s="574"/>
      <c r="EI24" s="678"/>
      <c r="EJ24" s="574"/>
      <c r="EK24" s="678"/>
      <c r="EL24" s="574"/>
      <c r="EM24" s="678"/>
      <c r="EN24" s="574"/>
      <c r="EO24" s="678"/>
      <c r="EP24" s="574"/>
      <c r="EQ24" s="678"/>
      <c r="ER24" s="574"/>
      <c r="ES24" s="678"/>
      <c r="ET24" s="574"/>
      <c r="EU24" s="678"/>
      <c r="EV24" s="574"/>
      <c r="EW24" s="678"/>
      <c r="EX24" s="574"/>
      <c r="EY24" s="678"/>
      <c r="EZ24" s="574"/>
      <c r="FA24" s="678"/>
      <c r="FB24" s="574"/>
      <c r="FC24" s="678"/>
      <c r="FD24" s="574"/>
      <c r="FE24" s="678"/>
      <c r="FF24" s="574"/>
      <c r="FG24" s="678"/>
      <c r="FH24" s="576"/>
      <c r="FI24" s="550"/>
      <c r="FJ24" s="551"/>
      <c r="FK24" s="683"/>
      <c r="FL24" s="674"/>
      <c r="FM24" s="570"/>
      <c r="FN24" s="675"/>
      <c r="FO24" s="676"/>
      <c r="FP24" s="679"/>
      <c r="FQ24" s="680"/>
      <c r="FR24" s="574"/>
      <c r="FS24" s="681"/>
      <c r="FT24" s="680"/>
      <c r="FU24" s="579"/>
      <c r="FV24" s="580"/>
      <c r="FW24" s="581"/>
      <c r="FX24" s="582"/>
      <c r="FY24" s="583"/>
      <c r="FZ24" s="584"/>
      <c r="GA24" s="585"/>
      <c r="GB24" s="586"/>
      <c r="GC24" s="587"/>
      <c r="GD24" s="586"/>
      <c r="GE24" s="588"/>
      <c r="GF24" s="671"/>
      <c r="GG24" s="589"/>
      <c r="GH24" s="589"/>
      <c r="GI24" s="589"/>
      <c r="GJ24" s="602"/>
      <c r="GK24" s="567" t="s">
        <v>438</v>
      </c>
      <c r="GL24" s="596"/>
      <c r="GM24" s="701"/>
      <c r="GN24" s="702">
        <v>0</v>
      </c>
      <c r="GO24" s="702"/>
      <c r="GP24" s="702"/>
      <c r="GQ24" s="596"/>
      <c r="GR24" s="602"/>
      <c r="GS24" s="596"/>
      <c r="GT24" s="660"/>
      <c r="GU24" s="567" t="s">
        <v>439</v>
      </c>
      <c r="GV24" s="596"/>
      <c r="GW24" s="596"/>
      <c r="GX24" s="404"/>
      <c r="GY24" s="705">
        <v>614</v>
      </c>
      <c r="GZ24" s="567" t="s">
        <v>440</v>
      </c>
      <c r="HA24" s="517"/>
      <c r="HB24" s="517"/>
      <c r="HC24" s="602"/>
      <c r="HD24" s="549"/>
      <c r="HE24" s="706"/>
      <c r="HF24" s="406"/>
      <c r="HG24" s="517"/>
      <c r="HH24" s="549"/>
      <c r="HI24" s="406"/>
      <c r="HJ24" s="406"/>
    </row>
    <row r="25" spans="1:218" ht="20.100000000000001" customHeight="1">
      <c r="A25" s="539"/>
      <c r="B25" s="707"/>
      <c r="C25" s="708"/>
      <c r="D25" s="605"/>
      <c r="E25" s="709"/>
      <c r="F25" s="710"/>
      <c r="G25" s="711"/>
      <c r="H25" s="609"/>
      <c r="I25" s="712"/>
      <c r="J25" s="609"/>
      <c r="K25" s="712"/>
      <c r="L25" s="609"/>
      <c r="M25" s="712"/>
      <c r="N25" s="609"/>
      <c r="O25" s="712"/>
      <c r="P25" s="609"/>
      <c r="Q25" s="712"/>
      <c r="R25" s="609"/>
      <c r="S25" s="712"/>
      <c r="T25" s="609"/>
      <c r="U25" s="712"/>
      <c r="V25" s="609"/>
      <c r="W25" s="712"/>
      <c r="X25" s="609"/>
      <c r="Y25" s="712"/>
      <c r="Z25" s="609"/>
      <c r="AA25" s="712"/>
      <c r="AB25" s="609"/>
      <c r="AC25" s="712"/>
      <c r="AD25" s="609"/>
      <c r="AE25" s="712"/>
      <c r="AF25" s="609"/>
      <c r="AG25" s="712"/>
      <c r="AH25" s="609"/>
      <c r="AI25" s="712"/>
      <c r="AJ25" s="609"/>
      <c r="AK25" s="712"/>
      <c r="AL25" s="609"/>
      <c r="AM25" s="712"/>
      <c r="AN25" s="609"/>
      <c r="AO25" s="712"/>
      <c r="AP25" s="609"/>
      <c r="AQ25" s="712"/>
      <c r="AR25" s="609"/>
      <c r="AS25" s="712"/>
      <c r="AT25" s="609"/>
      <c r="AU25" s="712"/>
      <c r="AV25" s="609"/>
      <c r="AW25" s="712"/>
      <c r="AX25" s="609"/>
      <c r="AY25" s="712"/>
      <c r="AZ25" s="609"/>
      <c r="BA25" s="712"/>
      <c r="BB25" s="611"/>
      <c r="BC25" s="549"/>
      <c r="BD25" s="539"/>
      <c r="BE25" s="707"/>
      <c r="BF25" s="708"/>
      <c r="BG25" s="605"/>
      <c r="BH25" s="709"/>
      <c r="BI25" s="710"/>
      <c r="BJ25" s="711"/>
      <c r="BK25" s="609"/>
      <c r="BL25" s="712"/>
      <c r="BM25" s="609"/>
      <c r="BN25" s="712"/>
      <c r="BO25" s="609"/>
      <c r="BP25" s="712"/>
      <c r="BQ25" s="609"/>
      <c r="BR25" s="712"/>
      <c r="BS25" s="609"/>
      <c r="BT25" s="712"/>
      <c r="BU25" s="609"/>
      <c r="BV25" s="712"/>
      <c r="BW25" s="609"/>
      <c r="BX25" s="712"/>
      <c r="BY25" s="609"/>
      <c r="BZ25" s="712"/>
      <c r="CA25" s="609"/>
      <c r="CB25" s="712"/>
      <c r="CC25" s="609"/>
      <c r="CD25" s="712"/>
      <c r="CE25" s="609"/>
      <c r="CF25" s="712"/>
      <c r="CG25" s="609"/>
      <c r="CH25" s="712"/>
      <c r="CI25" s="609"/>
      <c r="CJ25" s="712"/>
      <c r="CK25" s="609"/>
      <c r="CL25" s="712"/>
      <c r="CM25" s="609"/>
      <c r="CN25" s="712"/>
      <c r="CO25" s="609"/>
      <c r="CP25" s="712"/>
      <c r="CQ25" s="609"/>
      <c r="CR25" s="712"/>
      <c r="CS25" s="609"/>
      <c r="CT25" s="712"/>
      <c r="CU25" s="609"/>
      <c r="CV25" s="712"/>
      <c r="CW25" s="609"/>
      <c r="CX25" s="712"/>
      <c r="CY25" s="609"/>
      <c r="CZ25" s="712"/>
      <c r="DA25" s="609"/>
      <c r="DB25" s="712"/>
      <c r="DC25" s="609"/>
      <c r="DD25" s="712"/>
      <c r="DE25" s="611"/>
      <c r="DF25" s="549"/>
      <c r="DG25" s="539"/>
      <c r="DH25" s="707"/>
      <c r="DI25" s="708"/>
      <c r="DJ25" s="605"/>
      <c r="DK25" s="709"/>
      <c r="DL25" s="710"/>
      <c r="DM25" s="711"/>
      <c r="DN25" s="609"/>
      <c r="DO25" s="712"/>
      <c r="DP25" s="609"/>
      <c r="DQ25" s="712"/>
      <c r="DR25" s="609"/>
      <c r="DS25" s="712"/>
      <c r="DT25" s="609"/>
      <c r="DU25" s="712"/>
      <c r="DV25" s="609"/>
      <c r="DW25" s="712"/>
      <c r="DX25" s="609"/>
      <c r="DY25" s="712"/>
      <c r="DZ25" s="609"/>
      <c r="EA25" s="712"/>
      <c r="EB25" s="609"/>
      <c r="EC25" s="712"/>
      <c r="ED25" s="609"/>
      <c r="EE25" s="712"/>
      <c r="EF25" s="609"/>
      <c r="EG25" s="712"/>
      <c r="EH25" s="609"/>
      <c r="EI25" s="712"/>
      <c r="EJ25" s="609"/>
      <c r="EK25" s="712"/>
      <c r="EL25" s="609"/>
      <c r="EM25" s="712"/>
      <c r="EN25" s="609"/>
      <c r="EO25" s="712"/>
      <c r="EP25" s="609"/>
      <c r="EQ25" s="712"/>
      <c r="ER25" s="609"/>
      <c r="ES25" s="712"/>
      <c r="ET25" s="609"/>
      <c r="EU25" s="712"/>
      <c r="EV25" s="609"/>
      <c r="EW25" s="712"/>
      <c r="EX25" s="609"/>
      <c r="EY25" s="712"/>
      <c r="EZ25" s="609"/>
      <c r="FA25" s="712"/>
      <c r="FB25" s="609"/>
      <c r="FC25" s="712"/>
      <c r="FD25" s="609"/>
      <c r="FE25" s="712"/>
      <c r="FF25" s="609"/>
      <c r="FG25" s="712"/>
      <c r="FH25" s="611"/>
      <c r="FI25" s="550"/>
      <c r="FJ25" s="551"/>
      <c r="FK25" s="707"/>
      <c r="FL25" s="708"/>
      <c r="FM25" s="605"/>
      <c r="FN25" s="709"/>
      <c r="FO25" s="710"/>
      <c r="FP25" s="713"/>
      <c r="FQ25" s="714"/>
      <c r="FR25" s="609"/>
      <c r="FS25" s="715"/>
      <c r="FT25" s="714"/>
      <c r="FU25" s="614"/>
      <c r="FV25" s="580"/>
      <c r="FW25" s="581"/>
      <c r="FX25" s="582"/>
      <c r="FY25" s="583"/>
      <c r="FZ25" s="584"/>
      <c r="GA25" s="585"/>
      <c r="GB25" s="586"/>
      <c r="GC25" s="587"/>
      <c r="GD25" s="586"/>
      <c r="GE25" s="588"/>
      <c r="GF25" s="671"/>
      <c r="GG25" s="589"/>
      <c r="GH25" s="589"/>
      <c r="GI25" s="589"/>
      <c r="GJ25" s="487"/>
      <c r="GK25" s="488"/>
      <c r="GL25" s="488"/>
      <c r="GM25" s="488"/>
      <c r="GN25" s="488"/>
      <c r="GO25" s="488"/>
      <c r="GP25" s="488"/>
      <c r="GQ25" s="488"/>
      <c r="GR25" s="488"/>
      <c r="GS25" s="404"/>
      <c r="GT25" s="660"/>
      <c r="GU25" s="567" t="s">
        <v>441</v>
      </c>
      <c r="GV25" s="596"/>
      <c r="GW25" s="596"/>
      <c r="GX25" s="404"/>
      <c r="GY25" s="716">
        <v>1</v>
      </c>
      <c r="GZ25" s="567"/>
      <c r="HA25" s="517"/>
      <c r="HB25" s="517"/>
      <c r="HC25" s="517"/>
      <c r="HD25" s="549"/>
      <c r="HE25" s="549"/>
      <c r="HF25" s="406"/>
      <c r="HG25" s="406"/>
    </row>
    <row r="26" spans="1:218" ht="20.100000000000001" customHeight="1">
      <c r="A26" s="628"/>
      <c r="B26" s="629"/>
      <c r="C26" s="629"/>
      <c r="D26" s="629" t="s">
        <v>538</v>
      </c>
      <c r="E26" s="629"/>
      <c r="F26" s="629"/>
      <c r="G26" s="1263"/>
      <c r="H26" s="1264">
        <f>SUM(H16:H25)</f>
        <v>0</v>
      </c>
      <c r="I26" s="1270"/>
      <c r="J26" s="1264">
        <f>SUM(J16:J25)</f>
        <v>0</v>
      </c>
      <c r="K26" s="1271"/>
      <c r="L26" s="1264">
        <f>SUM(L16:L25)</f>
        <v>0</v>
      </c>
      <c r="M26" s="1271"/>
      <c r="N26" s="1264">
        <f>SUM(N16:N25)</f>
        <v>0</v>
      </c>
      <c r="O26" s="1271"/>
      <c r="P26" s="1264">
        <f>SUM(P16:P25)</f>
        <v>0</v>
      </c>
      <c r="Q26" s="1271"/>
      <c r="R26" s="1264">
        <f>SUM(R16:R25)</f>
        <v>0</v>
      </c>
      <c r="S26" s="1271"/>
      <c r="T26" s="1264">
        <f>SUM(T16:T25)</f>
        <v>0</v>
      </c>
      <c r="U26" s="1271"/>
      <c r="V26" s="1264">
        <f>SUM(V16:V25)</f>
        <v>0</v>
      </c>
      <c r="W26" s="1271"/>
      <c r="X26" s="1264">
        <f>SUM(X16:X25)</f>
        <v>200</v>
      </c>
      <c r="Y26" s="1271"/>
      <c r="Z26" s="1264">
        <f>SUM(Z16:Z25)</f>
        <v>261</v>
      </c>
      <c r="AA26" s="1271"/>
      <c r="AB26" s="1264">
        <f>SUM(AB16:AB25)</f>
        <v>321</v>
      </c>
      <c r="AC26" s="1271"/>
      <c r="AD26" s="1264">
        <f>SUM(AD16:AD25)</f>
        <v>341</v>
      </c>
      <c r="AE26" s="1271"/>
      <c r="AF26" s="1264">
        <f>SUM(AF16:AF25)</f>
        <v>361</v>
      </c>
      <c r="AG26" s="1271"/>
      <c r="AH26" s="1264">
        <f>SUM(AH16:AH25)</f>
        <v>361</v>
      </c>
      <c r="AI26" s="1271"/>
      <c r="AJ26" s="1264">
        <f>SUM(AJ16:AJ25)</f>
        <v>321</v>
      </c>
      <c r="AK26" s="1271"/>
      <c r="AL26" s="1264">
        <f>SUM(AL16:AL25)</f>
        <v>301</v>
      </c>
      <c r="AM26" s="1271"/>
      <c r="AN26" s="1264">
        <f>SUM(AN16:AN25)</f>
        <v>241</v>
      </c>
      <c r="AO26" s="1271"/>
      <c r="AP26" s="1264">
        <f>SUM(AP16:AP25)</f>
        <v>200</v>
      </c>
      <c r="AQ26" s="1271"/>
      <c r="AR26" s="1264">
        <f>SUM(AR16:AR25)</f>
        <v>0</v>
      </c>
      <c r="AS26" s="1271"/>
      <c r="AT26" s="1264">
        <f>SUM(AT16:AT25)</f>
        <v>0</v>
      </c>
      <c r="AU26" s="1271"/>
      <c r="AV26" s="1264">
        <f>SUM(AV16:AV25)</f>
        <v>0</v>
      </c>
      <c r="AW26" s="1271"/>
      <c r="AX26" s="1264">
        <f>SUM(AX16:AX25)</f>
        <v>0</v>
      </c>
      <c r="AY26" s="1271"/>
      <c r="AZ26" s="1264">
        <f>SUM(AZ16:AZ25)</f>
        <v>0</v>
      </c>
      <c r="BA26" s="1271"/>
      <c r="BB26" s="1266">
        <f>SUM(BB16:BB25)</f>
        <v>0</v>
      </c>
      <c r="BC26" s="635"/>
      <c r="BD26" s="628"/>
      <c r="BE26" s="629"/>
      <c r="BF26" s="629"/>
      <c r="BG26" s="629" t="s">
        <v>702</v>
      </c>
      <c r="BH26" s="629"/>
      <c r="BI26" s="629"/>
      <c r="BJ26" s="1263"/>
      <c r="BK26" s="1264">
        <f>SUM(BK16:BK25)</f>
        <v>0</v>
      </c>
      <c r="BL26" s="1270"/>
      <c r="BM26" s="1264">
        <f>SUM(BM16:BM25)</f>
        <v>0</v>
      </c>
      <c r="BN26" s="1271"/>
      <c r="BO26" s="1264">
        <f>SUM(BO16:BO25)</f>
        <v>0</v>
      </c>
      <c r="BP26" s="1271"/>
      <c r="BQ26" s="1264">
        <f>SUM(BQ16:BQ25)</f>
        <v>0</v>
      </c>
      <c r="BR26" s="1271"/>
      <c r="BS26" s="1264">
        <f>SUM(BS16:BS25)</f>
        <v>0</v>
      </c>
      <c r="BT26" s="1271"/>
      <c r="BU26" s="1264">
        <f>SUM(BU16:BU25)</f>
        <v>0</v>
      </c>
      <c r="BV26" s="1271"/>
      <c r="BW26" s="1264">
        <f>SUM(BW16:BW25)</f>
        <v>0</v>
      </c>
      <c r="BX26" s="1271"/>
      <c r="BY26" s="1264">
        <f>SUM(BY16:BY25)</f>
        <v>0</v>
      </c>
      <c r="BZ26" s="1271"/>
      <c r="CA26" s="1264">
        <f>SUM(CA16:CA25)</f>
        <v>180</v>
      </c>
      <c r="CB26" s="1271"/>
      <c r="CC26" s="1264">
        <f>SUM(CC16:CC25)</f>
        <v>241</v>
      </c>
      <c r="CD26" s="1271"/>
      <c r="CE26" s="1264">
        <f>SUM(CE16:CE25)</f>
        <v>301</v>
      </c>
      <c r="CF26" s="1271"/>
      <c r="CG26" s="1264">
        <f>SUM(CG16:CG25)</f>
        <v>321</v>
      </c>
      <c r="CH26" s="1271"/>
      <c r="CI26" s="1264">
        <f>SUM(CI16:CI25)</f>
        <v>341</v>
      </c>
      <c r="CJ26" s="1271"/>
      <c r="CK26" s="1264">
        <f>SUM(CK16:CK25)</f>
        <v>321</v>
      </c>
      <c r="CL26" s="1271"/>
      <c r="CM26" s="1264">
        <f>SUM(CM16:CM25)</f>
        <v>301</v>
      </c>
      <c r="CN26" s="1271"/>
      <c r="CO26" s="1264">
        <f>SUM(CO16:CO25)</f>
        <v>261</v>
      </c>
      <c r="CP26" s="1271"/>
      <c r="CQ26" s="1264">
        <f>SUM(CQ16:CQ25)</f>
        <v>241</v>
      </c>
      <c r="CR26" s="1271"/>
      <c r="CS26" s="1264">
        <f>SUM(CS16:CS25)</f>
        <v>180</v>
      </c>
      <c r="CT26" s="1271"/>
      <c r="CU26" s="1264">
        <f>SUM(CU16:CU25)</f>
        <v>0</v>
      </c>
      <c r="CV26" s="1271"/>
      <c r="CW26" s="1264">
        <f>SUM(CW16:CW25)</f>
        <v>0</v>
      </c>
      <c r="CX26" s="1271"/>
      <c r="CY26" s="1264">
        <f>SUM(CY16:CY25)</f>
        <v>0</v>
      </c>
      <c r="CZ26" s="1271"/>
      <c r="DA26" s="1264">
        <f>SUM(DA16:DA25)</f>
        <v>0</v>
      </c>
      <c r="DB26" s="1271"/>
      <c r="DC26" s="1264">
        <f>SUM(DC16:DC25)</f>
        <v>0</v>
      </c>
      <c r="DD26" s="1271"/>
      <c r="DE26" s="1266">
        <f>SUM(DE16:DE25)</f>
        <v>0</v>
      </c>
      <c r="DF26" s="635"/>
      <c r="DG26" s="628"/>
      <c r="DH26" s="629"/>
      <c r="DI26" s="629"/>
      <c r="DJ26" s="629" t="s">
        <v>538</v>
      </c>
      <c r="DK26" s="629"/>
      <c r="DL26" s="629"/>
      <c r="DM26" s="1263"/>
      <c r="DN26" s="1264">
        <f>SUM(DN16:DN25)</f>
        <v>0</v>
      </c>
      <c r="DO26" s="1270"/>
      <c r="DP26" s="1264">
        <f>SUM(DP16:DP25)</f>
        <v>0</v>
      </c>
      <c r="DQ26" s="1271"/>
      <c r="DR26" s="1264">
        <f>SUM(DR16:DR25)</f>
        <v>0</v>
      </c>
      <c r="DS26" s="1271"/>
      <c r="DT26" s="1264">
        <f>SUM(DT16:DT25)</f>
        <v>0</v>
      </c>
      <c r="DU26" s="1271"/>
      <c r="DV26" s="1264">
        <f>SUM(DV16:DV25)</f>
        <v>0</v>
      </c>
      <c r="DW26" s="1271"/>
      <c r="DX26" s="1264">
        <f>SUM(DX16:DX25)</f>
        <v>0</v>
      </c>
      <c r="DY26" s="1271"/>
      <c r="DZ26" s="1264">
        <f>SUM(DZ16:DZ25)</f>
        <v>0</v>
      </c>
      <c r="EA26" s="1271"/>
      <c r="EB26" s="1264">
        <f>SUM(EB16:EB25)</f>
        <v>0</v>
      </c>
      <c r="EC26" s="1271"/>
      <c r="ED26" s="1264">
        <f>SUM(ED16:ED25)</f>
        <v>40</v>
      </c>
      <c r="EE26" s="1271"/>
      <c r="EF26" s="1264">
        <f>SUM(EF16:EF25)</f>
        <v>120</v>
      </c>
      <c r="EG26" s="1271"/>
      <c r="EH26" s="1264">
        <f>SUM(EH16:EH25)</f>
        <v>180</v>
      </c>
      <c r="EI26" s="1271"/>
      <c r="EJ26" s="1264">
        <f>SUM(EJ16:EJ25)</f>
        <v>220</v>
      </c>
      <c r="EK26" s="1271"/>
      <c r="EL26" s="1264">
        <f>SUM(EL16:EL25)</f>
        <v>220</v>
      </c>
      <c r="EM26" s="1271"/>
      <c r="EN26" s="1264">
        <f>SUM(EN16:EN25)</f>
        <v>200</v>
      </c>
      <c r="EO26" s="1271"/>
      <c r="EP26" s="1264">
        <f>SUM(EP16:EP25)</f>
        <v>180</v>
      </c>
      <c r="EQ26" s="1271"/>
      <c r="ER26" s="1264">
        <f>SUM(ER16:ER25)</f>
        <v>160</v>
      </c>
      <c r="ES26" s="1271"/>
      <c r="ET26" s="1264">
        <f>SUM(ET16:ET25)</f>
        <v>100</v>
      </c>
      <c r="EU26" s="1271"/>
      <c r="EV26" s="1264">
        <f>SUM(EV16:EV25)</f>
        <v>40</v>
      </c>
      <c r="EW26" s="1271"/>
      <c r="EX26" s="1264">
        <f>SUM(EX16:EX25)</f>
        <v>0</v>
      </c>
      <c r="EY26" s="1271"/>
      <c r="EZ26" s="1264">
        <f>SUM(EZ16:EZ25)</f>
        <v>0</v>
      </c>
      <c r="FA26" s="1271"/>
      <c r="FB26" s="1264">
        <f>SUM(FB16:FB25)</f>
        <v>0</v>
      </c>
      <c r="FC26" s="1271"/>
      <c r="FD26" s="1264">
        <f>SUM(FD16:FD25)</f>
        <v>0</v>
      </c>
      <c r="FE26" s="1271"/>
      <c r="FF26" s="1264">
        <f>SUM(FF16:FF25)</f>
        <v>0</v>
      </c>
      <c r="FG26" s="1271"/>
      <c r="FH26" s="1266">
        <f>SUM(FH16:FH25)</f>
        <v>0</v>
      </c>
      <c r="FI26" s="636"/>
      <c r="FJ26" s="551"/>
      <c r="FK26" s="629"/>
      <c r="FL26" s="629"/>
      <c r="FM26" s="629" t="s">
        <v>702</v>
      </c>
      <c r="FN26" s="629"/>
      <c r="FO26" s="629"/>
      <c r="FP26" s="1267"/>
      <c r="FQ26" s="638"/>
      <c r="FR26" s="1264">
        <f>SUM(FR16:FR25)</f>
        <v>1022</v>
      </c>
      <c r="FS26" s="1272"/>
      <c r="FT26" s="638"/>
      <c r="FU26" s="1269">
        <f>SUM(FU16:FU25)</f>
        <v>1042</v>
      </c>
      <c r="FV26" s="580"/>
      <c r="FW26" s="581"/>
      <c r="FX26" s="582"/>
      <c r="FY26" s="583"/>
      <c r="FZ26" s="584"/>
      <c r="GA26" s="585"/>
      <c r="GB26" s="586"/>
      <c r="GC26" s="587"/>
      <c r="GD26" s="586"/>
      <c r="GE26" s="588"/>
      <c r="GF26" s="641"/>
      <c r="GG26" s="642"/>
      <c r="GH26" s="642"/>
      <c r="GI26" s="642"/>
      <c r="GJ26" s="602"/>
      <c r="GK26" s="517" t="s">
        <v>442</v>
      </c>
      <c r="GL26" s="602"/>
      <c r="GM26" s="517"/>
      <c r="GN26" s="602"/>
      <c r="GO26" s="517"/>
      <c r="GP26" s="602"/>
      <c r="GQ26" s="602"/>
      <c r="GR26" s="602"/>
      <c r="GS26" s="566"/>
      <c r="GT26" s="660"/>
      <c r="GU26" s="567" t="s">
        <v>443</v>
      </c>
      <c r="GV26" s="596"/>
      <c r="GW26" s="596"/>
      <c r="GX26" s="404"/>
      <c r="GY26" s="716">
        <v>0</v>
      </c>
      <c r="GZ26" s="567"/>
      <c r="HA26" s="517"/>
      <c r="HB26" s="517"/>
      <c r="HC26" s="517"/>
      <c r="HD26" s="635"/>
      <c r="HE26" s="406"/>
      <c r="HF26" s="406"/>
      <c r="HG26" s="567"/>
      <c r="HH26" s="635"/>
      <c r="HI26" s="406"/>
      <c r="HJ26" s="406"/>
    </row>
    <row r="27" spans="1:218" ht="20.100000000000001" customHeight="1">
      <c r="A27" s="1293" t="s">
        <v>369</v>
      </c>
      <c r="B27" s="721"/>
      <c r="C27" s="722"/>
      <c r="D27" s="650"/>
      <c r="E27" s="722"/>
      <c r="F27" s="722"/>
      <c r="G27" s="723" t="s">
        <v>367</v>
      </c>
      <c r="H27" s="650" t="s">
        <v>368</v>
      </c>
      <c r="I27" s="724" t="s">
        <v>367</v>
      </c>
      <c r="J27" s="650" t="s">
        <v>368</v>
      </c>
      <c r="K27" s="725" t="s">
        <v>367</v>
      </c>
      <c r="L27" s="650" t="s">
        <v>655</v>
      </c>
      <c r="M27" s="725" t="s">
        <v>367</v>
      </c>
      <c r="N27" s="650" t="s">
        <v>368</v>
      </c>
      <c r="O27" s="725" t="s">
        <v>367</v>
      </c>
      <c r="P27" s="650" t="s">
        <v>368</v>
      </c>
      <c r="Q27" s="725" t="s">
        <v>654</v>
      </c>
      <c r="R27" s="650" t="s">
        <v>368</v>
      </c>
      <c r="S27" s="725" t="s">
        <v>367</v>
      </c>
      <c r="T27" s="650" t="s">
        <v>368</v>
      </c>
      <c r="U27" s="725" t="s">
        <v>367</v>
      </c>
      <c r="V27" s="650" t="s">
        <v>368</v>
      </c>
      <c r="W27" s="725" t="s">
        <v>367</v>
      </c>
      <c r="X27" s="650" t="s">
        <v>368</v>
      </c>
      <c r="Y27" s="725" t="s">
        <v>367</v>
      </c>
      <c r="Z27" s="650" t="s">
        <v>368</v>
      </c>
      <c r="AA27" s="725" t="s">
        <v>367</v>
      </c>
      <c r="AB27" s="650" t="s">
        <v>368</v>
      </c>
      <c r="AC27" s="725" t="s">
        <v>367</v>
      </c>
      <c r="AD27" s="650" t="s">
        <v>368</v>
      </c>
      <c r="AE27" s="725" t="s">
        <v>367</v>
      </c>
      <c r="AF27" s="650" t="s">
        <v>368</v>
      </c>
      <c r="AG27" s="725" t="s">
        <v>367</v>
      </c>
      <c r="AH27" s="650" t="s">
        <v>368</v>
      </c>
      <c r="AI27" s="725" t="s">
        <v>367</v>
      </c>
      <c r="AJ27" s="650" t="s">
        <v>368</v>
      </c>
      <c r="AK27" s="725" t="s">
        <v>367</v>
      </c>
      <c r="AL27" s="650" t="s">
        <v>368</v>
      </c>
      <c r="AM27" s="725" t="s">
        <v>367</v>
      </c>
      <c r="AN27" s="650" t="s">
        <v>368</v>
      </c>
      <c r="AO27" s="725" t="s">
        <v>367</v>
      </c>
      <c r="AP27" s="650" t="s">
        <v>368</v>
      </c>
      <c r="AQ27" s="725" t="s">
        <v>367</v>
      </c>
      <c r="AR27" s="650" t="s">
        <v>708</v>
      </c>
      <c r="AS27" s="725" t="s">
        <v>367</v>
      </c>
      <c r="AT27" s="650" t="s">
        <v>368</v>
      </c>
      <c r="AU27" s="725" t="s">
        <v>367</v>
      </c>
      <c r="AV27" s="650" t="s">
        <v>368</v>
      </c>
      <c r="AW27" s="725" t="s">
        <v>367</v>
      </c>
      <c r="AX27" s="650" t="s">
        <v>368</v>
      </c>
      <c r="AY27" s="725" t="s">
        <v>367</v>
      </c>
      <c r="AZ27" s="650" t="s">
        <v>368</v>
      </c>
      <c r="BA27" s="725" t="s">
        <v>632</v>
      </c>
      <c r="BB27" s="652" t="s">
        <v>368</v>
      </c>
      <c r="BC27" s="706"/>
      <c r="BD27" s="1293" t="s">
        <v>369</v>
      </c>
      <c r="BE27" s="721"/>
      <c r="BF27" s="722"/>
      <c r="BG27" s="650"/>
      <c r="BH27" s="722"/>
      <c r="BI27" s="722"/>
      <c r="BJ27" s="723" t="s">
        <v>367</v>
      </c>
      <c r="BK27" s="650" t="s">
        <v>368</v>
      </c>
      <c r="BL27" s="724" t="s">
        <v>367</v>
      </c>
      <c r="BM27" s="650" t="s">
        <v>368</v>
      </c>
      <c r="BN27" s="725" t="s">
        <v>367</v>
      </c>
      <c r="BO27" s="650" t="s">
        <v>368</v>
      </c>
      <c r="BP27" s="725" t="s">
        <v>367</v>
      </c>
      <c r="BQ27" s="650" t="s">
        <v>368</v>
      </c>
      <c r="BR27" s="725" t="s">
        <v>367</v>
      </c>
      <c r="BS27" s="650" t="s">
        <v>368</v>
      </c>
      <c r="BT27" s="725" t="s">
        <v>367</v>
      </c>
      <c r="BU27" s="650" t="s">
        <v>368</v>
      </c>
      <c r="BV27" s="725" t="s">
        <v>367</v>
      </c>
      <c r="BW27" s="650" t="s">
        <v>368</v>
      </c>
      <c r="BX27" s="725" t="s">
        <v>367</v>
      </c>
      <c r="BY27" s="650" t="s">
        <v>368</v>
      </c>
      <c r="BZ27" s="725" t="s">
        <v>367</v>
      </c>
      <c r="CA27" s="650" t="s">
        <v>368</v>
      </c>
      <c r="CB27" s="725" t="s">
        <v>367</v>
      </c>
      <c r="CC27" s="650" t="s">
        <v>368</v>
      </c>
      <c r="CD27" s="725" t="s">
        <v>367</v>
      </c>
      <c r="CE27" s="650" t="s">
        <v>368</v>
      </c>
      <c r="CF27" s="725" t="s">
        <v>367</v>
      </c>
      <c r="CG27" s="650" t="s">
        <v>368</v>
      </c>
      <c r="CH27" s="725" t="s">
        <v>367</v>
      </c>
      <c r="CI27" s="650" t="s">
        <v>368</v>
      </c>
      <c r="CJ27" s="725" t="s">
        <v>367</v>
      </c>
      <c r="CK27" s="650" t="s">
        <v>368</v>
      </c>
      <c r="CL27" s="725" t="s">
        <v>367</v>
      </c>
      <c r="CM27" s="650" t="s">
        <v>368</v>
      </c>
      <c r="CN27" s="725" t="s">
        <v>367</v>
      </c>
      <c r="CO27" s="650" t="s">
        <v>368</v>
      </c>
      <c r="CP27" s="725" t="s">
        <v>367</v>
      </c>
      <c r="CQ27" s="650" t="s">
        <v>368</v>
      </c>
      <c r="CR27" s="725" t="s">
        <v>367</v>
      </c>
      <c r="CS27" s="650" t="s">
        <v>368</v>
      </c>
      <c r="CT27" s="725" t="s">
        <v>367</v>
      </c>
      <c r="CU27" s="650" t="s">
        <v>368</v>
      </c>
      <c r="CV27" s="725" t="s">
        <v>367</v>
      </c>
      <c r="CW27" s="650" t="s">
        <v>368</v>
      </c>
      <c r="CX27" s="725" t="s">
        <v>367</v>
      </c>
      <c r="CY27" s="650" t="s">
        <v>368</v>
      </c>
      <c r="CZ27" s="725" t="s">
        <v>367</v>
      </c>
      <c r="DA27" s="650" t="s">
        <v>368</v>
      </c>
      <c r="DB27" s="725" t="s">
        <v>367</v>
      </c>
      <c r="DC27" s="650" t="s">
        <v>368</v>
      </c>
      <c r="DD27" s="725" t="s">
        <v>367</v>
      </c>
      <c r="DE27" s="652" t="s">
        <v>368</v>
      </c>
      <c r="DF27" s="706"/>
      <c r="DG27" s="1293" t="s">
        <v>369</v>
      </c>
      <c r="DH27" s="726"/>
      <c r="DI27" s="727"/>
      <c r="DJ27" s="728"/>
      <c r="DK27" s="727"/>
      <c r="DL27" s="727"/>
      <c r="DM27" s="723" t="s">
        <v>367</v>
      </c>
      <c r="DN27" s="650" t="s">
        <v>368</v>
      </c>
      <c r="DO27" s="724" t="s">
        <v>367</v>
      </c>
      <c r="DP27" s="650" t="s">
        <v>368</v>
      </c>
      <c r="DQ27" s="725" t="s">
        <v>367</v>
      </c>
      <c r="DR27" s="650" t="s">
        <v>368</v>
      </c>
      <c r="DS27" s="725" t="s">
        <v>367</v>
      </c>
      <c r="DT27" s="650" t="s">
        <v>368</v>
      </c>
      <c r="DU27" s="725" t="s">
        <v>367</v>
      </c>
      <c r="DV27" s="650" t="s">
        <v>368</v>
      </c>
      <c r="DW27" s="725" t="s">
        <v>367</v>
      </c>
      <c r="DX27" s="650" t="s">
        <v>368</v>
      </c>
      <c r="DY27" s="725" t="s">
        <v>367</v>
      </c>
      <c r="DZ27" s="650" t="s">
        <v>368</v>
      </c>
      <c r="EA27" s="725" t="s">
        <v>367</v>
      </c>
      <c r="EB27" s="650" t="s">
        <v>368</v>
      </c>
      <c r="EC27" s="725" t="s">
        <v>367</v>
      </c>
      <c r="ED27" s="650" t="s">
        <v>368</v>
      </c>
      <c r="EE27" s="725" t="s">
        <v>367</v>
      </c>
      <c r="EF27" s="650" t="s">
        <v>368</v>
      </c>
      <c r="EG27" s="725" t="s">
        <v>367</v>
      </c>
      <c r="EH27" s="650" t="s">
        <v>368</v>
      </c>
      <c r="EI27" s="725" t="s">
        <v>367</v>
      </c>
      <c r="EJ27" s="650" t="s">
        <v>368</v>
      </c>
      <c r="EK27" s="725" t="s">
        <v>367</v>
      </c>
      <c r="EL27" s="650" t="s">
        <v>368</v>
      </c>
      <c r="EM27" s="725" t="s">
        <v>367</v>
      </c>
      <c r="EN27" s="650" t="s">
        <v>368</v>
      </c>
      <c r="EO27" s="725" t="s">
        <v>367</v>
      </c>
      <c r="EP27" s="650" t="s">
        <v>368</v>
      </c>
      <c r="EQ27" s="725" t="s">
        <v>367</v>
      </c>
      <c r="ER27" s="650" t="s">
        <v>368</v>
      </c>
      <c r="ES27" s="725" t="s">
        <v>367</v>
      </c>
      <c r="ET27" s="650" t="s">
        <v>368</v>
      </c>
      <c r="EU27" s="725" t="s">
        <v>367</v>
      </c>
      <c r="EV27" s="650" t="s">
        <v>368</v>
      </c>
      <c r="EW27" s="725" t="s">
        <v>367</v>
      </c>
      <c r="EX27" s="650" t="s">
        <v>368</v>
      </c>
      <c r="EY27" s="725" t="s">
        <v>367</v>
      </c>
      <c r="EZ27" s="650" t="s">
        <v>368</v>
      </c>
      <c r="FA27" s="725" t="s">
        <v>367</v>
      </c>
      <c r="FB27" s="650" t="s">
        <v>368</v>
      </c>
      <c r="FC27" s="725" t="s">
        <v>367</v>
      </c>
      <c r="FD27" s="650" t="s">
        <v>368</v>
      </c>
      <c r="FE27" s="725" t="s">
        <v>367</v>
      </c>
      <c r="FF27" s="650" t="s">
        <v>368</v>
      </c>
      <c r="FG27" s="725" t="s">
        <v>367</v>
      </c>
      <c r="FH27" s="652" t="s">
        <v>368</v>
      </c>
      <c r="FI27" s="729"/>
      <c r="FJ27" s="529" t="s">
        <v>369</v>
      </c>
      <c r="FK27" s="726"/>
      <c r="FL27" s="727"/>
      <c r="FM27" s="728"/>
      <c r="FN27" s="727"/>
      <c r="FO27" s="727"/>
      <c r="FP27" s="730" t="s">
        <v>370</v>
      </c>
      <c r="FQ27" s="656" t="s">
        <v>367</v>
      </c>
      <c r="FR27" s="650" t="s">
        <v>371</v>
      </c>
      <c r="FS27" s="731" t="s">
        <v>370</v>
      </c>
      <c r="FT27" s="656" t="s">
        <v>367</v>
      </c>
      <c r="FU27" s="658" t="s">
        <v>371</v>
      </c>
      <c r="FV27" s="580"/>
      <c r="FW27" s="581"/>
      <c r="FX27" s="582"/>
      <c r="FY27" s="583"/>
      <c r="FZ27" s="584"/>
      <c r="GA27" s="585"/>
      <c r="GB27" s="586"/>
      <c r="GC27" s="587"/>
      <c r="GD27" s="586"/>
      <c r="GE27" s="588"/>
      <c r="GF27" s="732"/>
      <c r="GG27" s="733"/>
      <c r="GH27" s="733"/>
      <c r="GI27" s="733"/>
      <c r="GJ27" s="602"/>
      <c r="GK27" s="517" t="s">
        <v>444</v>
      </c>
      <c r="GL27" s="602"/>
      <c r="GM27" s="602"/>
      <c r="GN27" s="602"/>
      <c r="GO27" s="404"/>
      <c r="GP27" s="734">
        <v>27.3</v>
      </c>
      <c r="GQ27" s="404" t="s">
        <v>445</v>
      </c>
      <c r="GR27" s="404"/>
      <c r="GS27" s="566"/>
      <c r="GT27" s="487"/>
      <c r="GU27" s="487"/>
      <c r="GV27" s="487"/>
      <c r="GW27" s="566"/>
      <c r="GX27" s="566"/>
      <c r="GY27" s="566"/>
      <c r="GZ27" s="565"/>
      <c r="HA27" s="487"/>
      <c r="HB27" s="487"/>
      <c r="HC27" s="517"/>
      <c r="HD27" s="400"/>
      <c r="HE27" s="406"/>
      <c r="HF27" s="406"/>
      <c r="HG27" s="406"/>
      <c r="HH27" s="406"/>
    </row>
    <row r="28" spans="1:218" ht="20.100000000000001" customHeight="1">
      <c r="A28" s="539"/>
      <c r="B28" s="735" t="s">
        <v>372</v>
      </c>
      <c r="C28" s="736"/>
      <c r="D28" s="737"/>
      <c r="E28" s="738"/>
      <c r="F28" s="739"/>
      <c r="G28" s="740"/>
      <c r="H28" s="546"/>
      <c r="I28" s="741"/>
      <c r="J28" s="546"/>
      <c r="K28" s="741"/>
      <c r="L28" s="546"/>
      <c r="M28" s="741"/>
      <c r="N28" s="546"/>
      <c r="O28" s="741"/>
      <c r="P28" s="546"/>
      <c r="Q28" s="741"/>
      <c r="R28" s="546"/>
      <c r="S28" s="741"/>
      <c r="T28" s="546"/>
      <c r="U28" s="741"/>
      <c r="V28" s="546"/>
      <c r="W28" s="741"/>
      <c r="X28" s="546">
        <v>0</v>
      </c>
      <c r="Y28" s="741"/>
      <c r="Z28" s="546">
        <v>0</v>
      </c>
      <c r="AA28" s="741"/>
      <c r="AB28" s="546">
        <v>0</v>
      </c>
      <c r="AC28" s="741"/>
      <c r="AD28" s="546">
        <v>0</v>
      </c>
      <c r="AE28" s="741"/>
      <c r="AF28" s="546">
        <v>0</v>
      </c>
      <c r="AG28" s="741"/>
      <c r="AH28" s="546">
        <v>0</v>
      </c>
      <c r="AI28" s="741"/>
      <c r="AJ28" s="546">
        <v>0</v>
      </c>
      <c r="AK28" s="741"/>
      <c r="AL28" s="546">
        <v>0</v>
      </c>
      <c r="AM28" s="741"/>
      <c r="AN28" s="546">
        <v>0</v>
      </c>
      <c r="AO28" s="741"/>
      <c r="AP28" s="546">
        <v>0</v>
      </c>
      <c r="AQ28" s="741"/>
      <c r="AR28" s="546"/>
      <c r="AS28" s="741"/>
      <c r="AT28" s="546"/>
      <c r="AU28" s="741"/>
      <c r="AV28" s="546"/>
      <c r="AW28" s="741"/>
      <c r="AX28" s="546"/>
      <c r="AY28" s="741"/>
      <c r="AZ28" s="546"/>
      <c r="BA28" s="741"/>
      <c r="BB28" s="667"/>
      <c r="BC28" s="549"/>
      <c r="BD28" s="539"/>
      <c r="BE28" s="735" t="s">
        <v>372</v>
      </c>
      <c r="BF28" s="736"/>
      <c r="BG28" s="737">
        <v>0</v>
      </c>
      <c r="BH28" s="738">
        <v>0</v>
      </c>
      <c r="BI28" s="739"/>
      <c r="BJ28" s="740"/>
      <c r="BK28" s="546"/>
      <c r="BL28" s="741"/>
      <c r="BM28" s="546"/>
      <c r="BN28" s="741"/>
      <c r="BO28" s="546"/>
      <c r="BP28" s="741"/>
      <c r="BQ28" s="546"/>
      <c r="BR28" s="741"/>
      <c r="BS28" s="546"/>
      <c r="BT28" s="741"/>
      <c r="BU28" s="546"/>
      <c r="BV28" s="741"/>
      <c r="BW28" s="546"/>
      <c r="BX28" s="741"/>
      <c r="BY28" s="546"/>
      <c r="BZ28" s="741"/>
      <c r="CA28" s="546">
        <v>0</v>
      </c>
      <c r="CB28" s="741"/>
      <c r="CC28" s="546">
        <v>0</v>
      </c>
      <c r="CD28" s="741"/>
      <c r="CE28" s="546">
        <v>0</v>
      </c>
      <c r="CF28" s="741"/>
      <c r="CG28" s="546">
        <v>0</v>
      </c>
      <c r="CH28" s="741"/>
      <c r="CI28" s="546">
        <v>0</v>
      </c>
      <c r="CJ28" s="741"/>
      <c r="CK28" s="546">
        <v>0</v>
      </c>
      <c r="CL28" s="741"/>
      <c r="CM28" s="546">
        <v>0</v>
      </c>
      <c r="CN28" s="741"/>
      <c r="CO28" s="546">
        <v>0</v>
      </c>
      <c r="CP28" s="741"/>
      <c r="CQ28" s="546">
        <v>0</v>
      </c>
      <c r="CR28" s="741"/>
      <c r="CS28" s="546">
        <v>0</v>
      </c>
      <c r="CT28" s="741"/>
      <c r="CU28" s="546"/>
      <c r="CV28" s="741"/>
      <c r="CW28" s="546"/>
      <c r="CX28" s="741"/>
      <c r="CY28" s="546"/>
      <c r="CZ28" s="741"/>
      <c r="DA28" s="546"/>
      <c r="DB28" s="741"/>
      <c r="DC28" s="546"/>
      <c r="DD28" s="741"/>
      <c r="DE28" s="667"/>
      <c r="DF28" s="549"/>
      <c r="DG28" s="539"/>
      <c r="DH28" s="735" t="s">
        <v>372</v>
      </c>
      <c r="DI28" s="736"/>
      <c r="DJ28" s="737">
        <v>0</v>
      </c>
      <c r="DK28" s="738">
        <v>0</v>
      </c>
      <c r="DL28" s="739"/>
      <c r="DM28" s="740"/>
      <c r="DN28" s="546"/>
      <c r="DO28" s="741"/>
      <c r="DP28" s="546"/>
      <c r="DQ28" s="741"/>
      <c r="DR28" s="546"/>
      <c r="DS28" s="741"/>
      <c r="DT28" s="546"/>
      <c r="DU28" s="741"/>
      <c r="DV28" s="546"/>
      <c r="DW28" s="741"/>
      <c r="DX28" s="546"/>
      <c r="DY28" s="741"/>
      <c r="DZ28" s="546"/>
      <c r="EA28" s="741"/>
      <c r="EB28" s="546"/>
      <c r="EC28" s="741"/>
      <c r="ED28" s="546">
        <v>0</v>
      </c>
      <c r="EE28" s="741"/>
      <c r="EF28" s="546">
        <v>0</v>
      </c>
      <c r="EG28" s="741"/>
      <c r="EH28" s="546">
        <v>0</v>
      </c>
      <c r="EI28" s="741"/>
      <c r="EJ28" s="546">
        <v>0</v>
      </c>
      <c r="EK28" s="741"/>
      <c r="EL28" s="546">
        <v>0</v>
      </c>
      <c r="EM28" s="741"/>
      <c r="EN28" s="546">
        <v>0</v>
      </c>
      <c r="EO28" s="741"/>
      <c r="EP28" s="546">
        <v>0</v>
      </c>
      <c r="EQ28" s="741"/>
      <c r="ER28" s="546">
        <v>0</v>
      </c>
      <c r="ES28" s="741"/>
      <c r="ET28" s="546">
        <v>0</v>
      </c>
      <c r="EU28" s="741"/>
      <c r="EV28" s="546">
        <v>0</v>
      </c>
      <c r="EW28" s="741"/>
      <c r="EX28" s="546"/>
      <c r="EY28" s="741"/>
      <c r="EZ28" s="546"/>
      <c r="FA28" s="741"/>
      <c r="FB28" s="546"/>
      <c r="FC28" s="741"/>
      <c r="FD28" s="546"/>
      <c r="FE28" s="741"/>
      <c r="FF28" s="546"/>
      <c r="FG28" s="741"/>
      <c r="FH28" s="667"/>
      <c r="FI28" s="550"/>
      <c r="FJ28" s="551"/>
      <c r="FK28" s="735" t="s">
        <v>372</v>
      </c>
      <c r="FL28" s="736"/>
      <c r="FM28" s="742"/>
      <c r="FN28" s="738">
        <v>0</v>
      </c>
      <c r="FO28" s="739"/>
      <c r="FP28" s="668"/>
      <c r="FQ28" s="743"/>
      <c r="FR28" s="546">
        <v>0</v>
      </c>
      <c r="FS28" s="744"/>
      <c r="FT28" s="743"/>
      <c r="FU28" s="554">
        <v>0</v>
      </c>
      <c r="FV28" s="580"/>
      <c r="FW28" s="581"/>
      <c r="FX28" s="582"/>
      <c r="FY28" s="583"/>
      <c r="FZ28" s="584"/>
      <c r="GA28" s="585"/>
      <c r="GB28" s="586"/>
      <c r="GC28" s="587"/>
      <c r="GD28" s="586"/>
      <c r="GE28" s="588"/>
      <c r="GF28" s="745"/>
      <c r="GG28" s="589"/>
      <c r="GH28" s="589"/>
      <c r="GI28" s="589"/>
      <c r="GJ28" s="602"/>
      <c r="GK28" s="517" t="s">
        <v>446</v>
      </c>
      <c r="GL28" s="404"/>
      <c r="GM28" s="404"/>
      <c r="GN28" s="404"/>
      <c r="GO28" s="517"/>
      <c r="GP28" s="734">
        <v>28</v>
      </c>
      <c r="GQ28" s="404" t="s">
        <v>445</v>
      </c>
      <c r="GR28" s="716"/>
      <c r="GS28" s="517"/>
      <c r="GT28" s="746"/>
      <c r="GU28" s="567" t="s">
        <v>447</v>
      </c>
      <c r="GV28" s="596"/>
      <c r="GW28" s="517"/>
      <c r="GX28" s="516"/>
      <c r="GY28" s="400"/>
      <c r="GZ28" s="602"/>
      <c r="HA28" s="517"/>
      <c r="HB28" s="517"/>
      <c r="HC28" s="517"/>
      <c r="HD28" s="517"/>
      <c r="HE28" s="406"/>
      <c r="HF28" s="406"/>
      <c r="HG28" s="406"/>
      <c r="HH28" s="406"/>
    </row>
    <row r="29" spans="1:218" ht="20.100000000000001" customHeight="1" thickBot="1">
      <c r="A29" s="539"/>
      <c r="B29" s="747" t="s">
        <v>374</v>
      </c>
      <c r="C29" s="748"/>
      <c r="D29" s="749">
        <v>75</v>
      </c>
      <c r="E29" s="750">
        <v>37.35</v>
      </c>
      <c r="F29" s="751" t="s">
        <v>373</v>
      </c>
      <c r="G29" s="752"/>
      <c r="H29" s="574"/>
      <c r="I29" s="753"/>
      <c r="J29" s="574"/>
      <c r="K29" s="753"/>
      <c r="L29" s="574"/>
      <c r="M29" s="753"/>
      <c r="N29" s="574"/>
      <c r="O29" s="753"/>
      <c r="P29" s="574"/>
      <c r="Q29" s="753"/>
      <c r="R29" s="574"/>
      <c r="S29" s="753"/>
      <c r="T29" s="574"/>
      <c r="U29" s="753"/>
      <c r="V29" s="574"/>
      <c r="W29" s="753">
        <v>1</v>
      </c>
      <c r="X29" s="574">
        <v>2801</v>
      </c>
      <c r="Y29" s="753">
        <v>1</v>
      </c>
      <c r="Z29" s="574">
        <v>2801</v>
      </c>
      <c r="AA29" s="753">
        <v>1</v>
      </c>
      <c r="AB29" s="574">
        <v>2801</v>
      </c>
      <c r="AC29" s="753">
        <v>1</v>
      </c>
      <c r="AD29" s="574">
        <v>2801</v>
      </c>
      <c r="AE29" s="753">
        <v>1</v>
      </c>
      <c r="AF29" s="574">
        <v>2801</v>
      </c>
      <c r="AG29" s="753">
        <v>1</v>
      </c>
      <c r="AH29" s="574">
        <v>2801</v>
      </c>
      <c r="AI29" s="753">
        <v>1</v>
      </c>
      <c r="AJ29" s="574">
        <v>2801</v>
      </c>
      <c r="AK29" s="753">
        <v>1</v>
      </c>
      <c r="AL29" s="574">
        <v>2801</v>
      </c>
      <c r="AM29" s="753">
        <v>1</v>
      </c>
      <c r="AN29" s="574">
        <v>2801</v>
      </c>
      <c r="AO29" s="753">
        <v>1</v>
      </c>
      <c r="AP29" s="574">
        <v>2801</v>
      </c>
      <c r="AQ29" s="753"/>
      <c r="AR29" s="574"/>
      <c r="AS29" s="753"/>
      <c r="AT29" s="574"/>
      <c r="AU29" s="753"/>
      <c r="AV29" s="574"/>
      <c r="AW29" s="753"/>
      <c r="AX29" s="574"/>
      <c r="AY29" s="753"/>
      <c r="AZ29" s="574"/>
      <c r="BA29" s="753"/>
      <c r="BB29" s="576"/>
      <c r="BC29" s="549"/>
      <c r="BD29" s="539"/>
      <c r="BE29" s="747" t="s">
        <v>374</v>
      </c>
      <c r="BF29" s="748"/>
      <c r="BG29" s="749">
        <v>75</v>
      </c>
      <c r="BH29" s="750">
        <v>37.35</v>
      </c>
      <c r="BI29" s="751" t="s">
        <v>373</v>
      </c>
      <c r="BJ29" s="752"/>
      <c r="BK29" s="574"/>
      <c r="BL29" s="753"/>
      <c r="BM29" s="574"/>
      <c r="BN29" s="753"/>
      <c r="BO29" s="574"/>
      <c r="BP29" s="753"/>
      <c r="BQ29" s="574"/>
      <c r="BR29" s="753"/>
      <c r="BS29" s="574"/>
      <c r="BT29" s="753"/>
      <c r="BU29" s="574"/>
      <c r="BV29" s="753"/>
      <c r="BW29" s="574"/>
      <c r="BX29" s="753"/>
      <c r="BY29" s="574"/>
      <c r="BZ29" s="753">
        <v>1</v>
      </c>
      <c r="CA29" s="574">
        <v>2801</v>
      </c>
      <c r="CB29" s="753">
        <v>1</v>
      </c>
      <c r="CC29" s="574">
        <v>2801</v>
      </c>
      <c r="CD29" s="753">
        <v>1</v>
      </c>
      <c r="CE29" s="574">
        <v>2801</v>
      </c>
      <c r="CF29" s="753">
        <v>1</v>
      </c>
      <c r="CG29" s="574">
        <v>2801</v>
      </c>
      <c r="CH29" s="753">
        <v>1</v>
      </c>
      <c r="CI29" s="574">
        <v>2801</v>
      </c>
      <c r="CJ29" s="753">
        <v>1</v>
      </c>
      <c r="CK29" s="574">
        <v>2801</v>
      </c>
      <c r="CL29" s="753">
        <v>1</v>
      </c>
      <c r="CM29" s="574">
        <v>2801</v>
      </c>
      <c r="CN29" s="753">
        <v>1</v>
      </c>
      <c r="CO29" s="574">
        <v>2801</v>
      </c>
      <c r="CP29" s="753">
        <v>1</v>
      </c>
      <c r="CQ29" s="574">
        <v>2801</v>
      </c>
      <c r="CR29" s="753">
        <v>1</v>
      </c>
      <c r="CS29" s="574">
        <v>2801</v>
      </c>
      <c r="CT29" s="753"/>
      <c r="CU29" s="574"/>
      <c r="CV29" s="753"/>
      <c r="CW29" s="574"/>
      <c r="CX29" s="753"/>
      <c r="CY29" s="574"/>
      <c r="CZ29" s="753"/>
      <c r="DA29" s="574"/>
      <c r="DB29" s="753"/>
      <c r="DC29" s="574"/>
      <c r="DD29" s="753"/>
      <c r="DE29" s="576"/>
      <c r="DF29" s="549"/>
      <c r="DG29" s="539"/>
      <c r="DH29" s="747" t="s">
        <v>374</v>
      </c>
      <c r="DI29" s="748"/>
      <c r="DJ29" s="749">
        <v>75</v>
      </c>
      <c r="DK29" s="750">
        <v>37.35</v>
      </c>
      <c r="DL29" s="751" t="s">
        <v>373</v>
      </c>
      <c r="DM29" s="752"/>
      <c r="DN29" s="574"/>
      <c r="DO29" s="753"/>
      <c r="DP29" s="574"/>
      <c r="DQ29" s="753"/>
      <c r="DR29" s="574"/>
      <c r="DS29" s="753"/>
      <c r="DT29" s="574"/>
      <c r="DU29" s="753"/>
      <c r="DV29" s="574"/>
      <c r="DW29" s="753"/>
      <c r="DX29" s="574"/>
      <c r="DY29" s="753"/>
      <c r="DZ29" s="574"/>
      <c r="EA29" s="753"/>
      <c r="EB29" s="574"/>
      <c r="EC29" s="753">
        <v>1</v>
      </c>
      <c r="ED29" s="574">
        <v>2801</v>
      </c>
      <c r="EE29" s="753">
        <v>1</v>
      </c>
      <c r="EF29" s="574">
        <v>2801</v>
      </c>
      <c r="EG29" s="753">
        <v>1</v>
      </c>
      <c r="EH29" s="574">
        <v>2801</v>
      </c>
      <c r="EI29" s="753">
        <v>1</v>
      </c>
      <c r="EJ29" s="574">
        <v>2801</v>
      </c>
      <c r="EK29" s="753">
        <v>1</v>
      </c>
      <c r="EL29" s="574">
        <v>2801</v>
      </c>
      <c r="EM29" s="753">
        <v>1</v>
      </c>
      <c r="EN29" s="574">
        <v>2801</v>
      </c>
      <c r="EO29" s="753">
        <v>1</v>
      </c>
      <c r="EP29" s="574">
        <v>2801</v>
      </c>
      <c r="EQ29" s="753">
        <v>1</v>
      </c>
      <c r="ER29" s="574">
        <v>2801</v>
      </c>
      <c r="ES29" s="753">
        <v>1</v>
      </c>
      <c r="ET29" s="574">
        <v>2801</v>
      </c>
      <c r="EU29" s="753">
        <v>1</v>
      </c>
      <c r="EV29" s="574">
        <v>2801</v>
      </c>
      <c r="EW29" s="753"/>
      <c r="EX29" s="574"/>
      <c r="EY29" s="753"/>
      <c r="EZ29" s="574"/>
      <c r="FA29" s="753"/>
      <c r="FB29" s="574"/>
      <c r="FC29" s="753"/>
      <c r="FD29" s="574"/>
      <c r="FE29" s="753"/>
      <c r="FF29" s="574"/>
      <c r="FG29" s="753"/>
      <c r="FH29" s="576"/>
      <c r="FI29" s="550"/>
      <c r="FJ29" s="551"/>
      <c r="FK29" s="747" t="s">
        <v>374</v>
      </c>
      <c r="FL29" s="748"/>
      <c r="FM29" s="754"/>
      <c r="FN29" s="750">
        <v>0</v>
      </c>
      <c r="FO29" s="751"/>
      <c r="FP29" s="679"/>
      <c r="FQ29" s="755"/>
      <c r="FR29" s="574">
        <v>0</v>
      </c>
      <c r="FS29" s="756"/>
      <c r="FT29" s="755"/>
      <c r="FU29" s="579">
        <v>0</v>
      </c>
      <c r="FV29" s="580"/>
      <c r="FW29" s="581"/>
      <c r="FX29" s="582"/>
      <c r="FY29" s="583"/>
      <c r="FZ29" s="584"/>
      <c r="GA29" s="585"/>
      <c r="GB29" s="586"/>
      <c r="GC29" s="587"/>
      <c r="GD29" s="586"/>
      <c r="GE29" s="588"/>
      <c r="GF29" s="745"/>
      <c r="GG29" s="589"/>
      <c r="GH29" s="589"/>
      <c r="GI29" s="589"/>
      <c r="GJ29" s="602"/>
      <c r="GK29" s="757" t="s">
        <v>448</v>
      </c>
      <c r="GL29" s="757"/>
      <c r="GM29" s="757"/>
      <c r="GN29" s="757"/>
      <c r="GO29" s="602"/>
      <c r="GP29" s="734">
        <v>-0.69999999999999929</v>
      </c>
      <c r="GQ29" s="404" t="s">
        <v>445</v>
      </c>
      <c r="GR29" s="758"/>
      <c r="GS29" s="517"/>
      <c r="GT29" s="746"/>
      <c r="GU29" s="567" t="s">
        <v>449</v>
      </c>
      <c r="GV29" s="596"/>
      <c r="GW29" s="517"/>
      <c r="GX29" s="516"/>
      <c r="GY29" s="400"/>
      <c r="GZ29" s="517"/>
      <c r="HA29" s="567"/>
      <c r="HB29" s="567"/>
      <c r="HC29" s="566"/>
      <c r="HD29" s="517"/>
      <c r="HE29" s="406"/>
      <c r="HF29" s="406"/>
    </row>
    <row r="30" spans="1:218" ht="20.100000000000001" customHeight="1">
      <c r="A30" s="539"/>
      <c r="B30" s="747" t="s">
        <v>375</v>
      </c>
      <c r="C30" s="749"/>
      <c r="D30" s="750">
        <v>0</v>
      </c>
      <c r="E30" s="759"/>
      <c r="F30" s="760"/>
      <c r="G30" s="752"/>
      <c r="H30" s="574"/>
      <c r="I30" s="753"/>
      <c r="J30" s="574"/>
      <c r="K30" s="753"/>
      <c r="L30" s="574"/>
      <c r="M30" s="753"/>
      <c r="N30" s="574"/>
      <c r="O30" s="753"/>
      <c r="P30" s="574"/>
      <c r="Q30" s="753"/>
      <c r="R30" s="574"/>
      <c r="S30" s="753"/>
      <c r="T30" s="574"/>
      <c r="U30" s="753"/>
      <c r="V30" s="574"/>
      <c r="W30" s="753"/>
      <c r="X30" s="574">
        <v>0</v>
      </c>
      <c r="Y30" s="753"/>
      <c r="Z30" s="574">
        <v>0</v>
      </c>
      <c r="AA30" s="753"/>
      <c r="AB30" s="574">
        <v>0</v>
      </c>
      <c r="AC30" s="753"/>
      <c r="AD30" s="574">
        <v>0</v>
      </c>
      <c r="AE30" s="753"/>
      <c r="AF30" s="574">
        <v>0</v>
      </c>
      <c r="AG30" s="753"/>
      <c r="AH30" s="574">
        <v>0</v>
      </c>
      <c r="AI30" s="753"/>
      <c r="AJ30" s="574">
        <v>0</v>
      </c>
      <c r="AK30" s="753"/>
      <c r="AL30" s="574">
        <v>0</v>
      </c>
      <c r="AM30" s="753"/>
      <c r="AN30" s="574">
        <v>0</v>
      </c>
      <c r="AO30" s="753"/>
      <c r="AP30" s="574">
        <v>0</v>
      </c>
      <c r="AQ30" s="753"/>
      <c r="AR30" s="574"/>
      <c r="AS30" s="753"/>
      <c r="AT30" s="574"/>
      <c r="AU30" s="753"/>
      <c r="AV30" s="574"/>
      <c r="AW30" s="753"/>
      <c r="AX30" s="574"/>
      <c r="AY30" s="753"/>
      <c r="AZ30" s="574"/>
      <c r="BA30" s="753"/>
      <c r="BB30" s="576"/>
      <c r="BC30" s="549"/>
      <c r="BD30" s="539"/>
      <c r="BE30" s="747" t="s">
        <v>375</v>
      </c>
      <c r="BF30" s="749">
        <v>0</v>
      </c>
      <c r="BG30" s="750">
        <v>0</v>
      </c>
      <c r="BH30" s="759">
        <v>0</v>
      </c>
      <c r="BI30" s="760"/>
      <c r="BJ30" s="752"/>
      <c r="BK30" s="574"/>
      <c r="BL30" s="753"/>
      <c r="BM30" s="574"/>
      <c r="BN30" s="753"/>
      <c r="BO30" s="574"/>
      <c r="BP30" s="753"/>
      <c r="BQ30" s="574"/>
      <c r="BR30" s="753"/>
      <c r="BS30" s="574"/>
      <c r="BT30" s="753"/>
      <c r="BU30" s="574"/>
      <c r="BV30" s="753"/>
      <c r="BW30" s="574"/>
      <c r="BX30" s="753"/>
      <c r="BY30" s="574"/>
      <c r="BZ30" s="753"/>
      <c r="CA30" s="574">
        <v>0</v>
      </c>
      <c r="CB30" s="753"/>
      <c r="CC30" s="574">
        <v>0</v>
      </c>
      <c r="CD30" s="753"/>
      <c r="CE30" s="574">
        <v>0</v>
      </c>
      <c r="CF30" s="753"/>
      <c r="CG30" s="574">
        <v>0</v>
      </c>
      <c r="CH30" s="753"/>
      <c r="CI30" s="574">
        <v>0</v>
      </c>
      <c r="CJ30" s="753"/>
      <c r="CK30" s="574">
        <v>0</v>
      </c>
      <c r="CL30" s="753"/>
      <c r="CM30" s="574">
        <v>0</v>
      </c>
      <c r="CN30" s="753"/>
      <c r="CO30" s="574">
        <v>0</v>
      </c>
      <c r="CP30" s="753"/>
      <c r="CQ30" s="574">
        <v>0</v>
      </c>
      <c r="CR30" s="753"/>
      <c r="CS30" s="574">
        <v>0</v>
      </c>
      <c r="CT30" s="753"/>
      <c r="CU30" s="574"/>
      <c r="CV30" s="753"/>
      <c r="CW30" s="574"/>
      <c r="CX30" s="753"/>
      <c r="CY30" s="574"/>
      <c r="CZ30" s="753"/>
      <c r="DA30" s="574"/>
      <c r="DB30" s="753"/>
      <c r="DC30" s="574"/>
      <c r="DD30" s="753"/>
      <c r="DE30" s="576"/>
      <c r="DF30" s="549"/>
      <c r="DG30" s="539"/>
      <c r="DH30" s="747" t="s">
        <v>375</v>
      </c>
      <c r="DI30" s="749">
        <v>0</v>
      </c>
      <c r="DJ30" s="750">
        <v>0</v>
      </c>
      <c r="DK30" s="759">
        <v>0</v>
      </c>
      <c r="DL30" s="760"/>
      <c r="DM30" s="752"/>
      <c r="DN30" s="574"/>
      <c r="DO30" s="753"/>
      <c r="DP30" s="574"/>
      <c r="DQ30" s="753"/>
      <c r="DR30" s="574"/>
      <c r="DS30" s="753"/>
      <c r="DT30" s="574"/>
      <c r="DU30" s="753"/>
      <c r="DV30" s="574"/>
      <c r="DW30" s="753"/>
      <c r="DX30" s="574"/>
      <c r="DY30" s="753"/>
      <c r="DZ30" s="574"/>
      <c r="EA30" s="753"/>
      <c r="EB30" s="574"/>
      <c r="EC30" s="753"/>
      <c r="ED30" s="574">
        <v>0</v>
      </c>
      <c r="EE30" s="753"/>
      <c r="EF30" s="574">
        <v>0</v>
      </c>
      <c r="EG30" s="753"/>
      <c r="EH30" s="574">
        <v>0</v>
      </c>
      <c r="EI30" s="753"/>
      <c r="EJ30" s="574">
        <v>0</v>
      </c>
      <c r="EK30" s="753"/>
      <c r="EL30" s="574">
        <v>0</v>
      </c>
      <c r="EM30" s="753"/>
      <c r="EN30" s="574">
        <v>0</v>
      </c>
      <c r="EO30" s="753"/>
      <c r="EP30" s="574">
        <v>0</v>
      </c>
      <c r="EQ30" s="753"/>
      <c r="ER30" s="574">
        <v>0</v>
      </c>
      <c r="ES30" s="753"/>
      <c r="ET30" s="574">
        <v>0</v>
      </c>
      <c r="EU30" s="753"/>
      <c r="EV30" s="574">
        <v>0</v>
      </c>
      <c r="EW30" s="753"/>
      <c r="EX30" s="574"/>
      <c r="EY30" s="753"/>
      <c r="EZ30" s="574"/>
      <c r="FA30" s="753"/>
      <c r="FB30" s="574"/>
      <c r="FC30" s="753"/>
      <c r="FD30" s="574"/>
      <c r="FE30" s="753"/>
      <c r="FF30" s="574"/>
      <c r="FG30" s="753"/>
      <c r="FH30" s="576"/>
      <c r="FI30" s="550"/>
      <c r="FJ30" s="551"/>
      <c r="FK30" s="747" t="s">
        <v>375</v>
      </c>
      <c r="FL30" s="754"/>
      <c r="FM30" s="750">
        <v>0</v>
      </c>
      <c r="FN30" s="759">
        <v>0</v>
      </c>
      <c r="FO30" s="760"/>
      <c r="FP30" s="679"/>
      <c r="FQ30" s="755"/>
      <c r="FR30" s="574">
        <v>0</v>
      </c>
      <c r="FS30" s="756"/>
      <c r="FT30" s="755"/>
      <c r="FU30" s="579">
        <v>0</v>
      </c>
      <c r="FV30" s="580"/>
      <c r="FW30" s="581"/>
      <c r="FX30" s="582"/>
      <c r="FY30" s="583"/>
      <c r="FZ30" s="584"/>
      <c r="GA30" s="585"/>
      <c r="GB30" s="586"/>
      <c r="GC30" s="587"/>
      <c r="GD30" s="586"/>
      <c r="GE30" s="588"/>
      <c r="GF30" s="745"/>
      <c r="GG30" s="589"/>
      <c r="GH30" s="589"/>
      <c r="GI30" s="589"/>
      <c r="GJ30" s="602"/>
      <c r="GK30" s="757" t="s">
        <v>450</v>
      </c>
      <c r="GL30" s="757"/>
      <c r="GM30" s="757"/>
      <c r="GN30" s="757"/>
      <c r="GO30" s="517"/>
      <c r="GP30" s="761">
        <v>-0.44</v>
      </c>
      <c r="GQ30" s="404"/>
      <c r="GR30" s="404"/>
      <c r="GS30" s="517"/>
      <c r="GT30" s="746"/>
      <c r="GU30" s="762" t="s">
        <v>341</v>
      </c>
      <c r="GV30" s="763"/>
      <c r="GW30" s="764" t="s">
        <v>451</v>
      </c>
      <c r="GX30" s="764"/>
      <c r="GY30" s="764"/>
      <c r="GZ30" s="764"/>
      <c r="HA30" s="765"/>
      <c r="HB30" s="766" t="s">
        <v>452</v>
      </c>
      <c r="HC30" s="566"/>
      <c r="HD30" s="549"/>
      <c r="HE30" s="406"/>
      <c r="HF30" s="406"/>
    </row>
    <row r="31" spans="1:218" ht="20.100000000000001" customHeight="1">
      <c r="A31" s="539"/>
      <c r="B31" s="767" t="s">
        <v>376</v>
      </c>
      <c r="C31" s="767"/>
      <c r="D31" s="768"/>
      <c r="E31" s="769"/>
      <c r="F31" s="770"/>
      <c r="G31" s="752"/>
      <c r="H31" s="574"/>
      <c r="I31" s="753"/>
      <c r="J31" s="574"/>
      <c r="K31" s="753"/>
      <c r="L31" s="574"/>
      <c r="M31" s="753"/>
      <c r="N31" s="574"/>
      <c r="O31" s="753"/>
      <c r="P31" s="574"/>
      <c r="Q31" s="753"/>
      <c r="R31" s="574"/>
      <c r="S31" s="753"/>
      <c r="T31" s="574"/>
      <c r="U31" s="753"/>
      <c r="V31" s="574"/>
      <c r="W31" s="753"/>
      <c r="X31" s="574">
        <v>0</v>
      </c>
      <c r="Y31" s="753"/>
      <c r="Z31" s="574">
        <v>0</v>
      </c>
      <c r="AA31" s="753"/>
      <c r="AB31" s="574">
        <v>0</v>
      </c>
      <c r="AC31" s="753"/>
      <c r="AD31" s="574">
        <v>0</v>
      </c>
      <c r="AE31" s="753"/>
      <c r="AF31" s="574">
        <v>0</v>
      </c>
      <c r="AG31" s="753"/>
      <c r="AH31" s="574">
        <v>0</v>
      </c>
      <c r="AI31" s="753"/>
      <c r="AJ31" s="574">
        <v>0</v>
      </c>
      <c r="AK31" s="753"/>
      <c r="AL31" s="574">
        <v>0</v>
      </c>
      <c r="AM31" s="753"/>
      <c r="AN31" s="574">
        <v>0</v>
      </c>
      <c r="AO31" s="753"/>
      <c r="AP31" s="574">
        <v>0</v>
      </c>
      <c r="AQ31" s="753"/>
      <c r="AR31" s="574"/>
      <c r="AS31" s="753"/>
      <c r="AT31" s="574"/>
      <c r="AU31" s="753"/>
      <c r="AV31" s="574"/>
      <c r="AW31" s="753"/>
      <c r="AX31" s="574"/>
      <c r="AY31" s="753"/>
      <c r="AZ31" s="574"/>
      <c r="BA31" s="753"/>
      <c r="BB31" s="576"/>
      <c r="BC31" s="549"/>
      <c r="BD31" s="539"/>
      <c r="BE31" s="767" t="s">
        <v>376</v>
      </c>
      <c r="BF31" s="767"/>
      <c r="BG31" s="768">
        <v>0</v>
      </c>
      <c r="BH31" s="769">
        <v>0</v>
      </c>
      <c r="BI31" s="770"/>
      <c r="BJ31" s="752"/>
      <c r="BK31" s="574"/>
      <c r="BL31" s="753"/>
      <c r="BM31" s="574"/>
      <c r="BN31" s="753"/>
      <c r="BO31" s="574"/>
      <c r="BP31" s="753"/>
      <c r="BQ31" s="574"/>
      <c r="BR31" s="753"/>
      <c r="BS31" s="574"/>
      <c r="BT31" s="753"/>
      <c r="BU31" s="574"/>
      <c r="BV31" s="753"/>
      <c r="BW31" s="574"/>
      <c r="BX31" s="753"/>
      <c r="BY31" s="574"/>
      <c r="BZ31" s="753"/>
      <c r="CA31" s="574">
        <v>0</v>
      </c>
      <c r="CB31" s="753"/>
      <c r="CC31" s="574">
        <v>0</v>
      </c>
      <c r="CD31" s="753"/>
      <c r="CE31" s="574">
        <v>0</v>
      </c>
      <c r="CF31" s="753"/>
      <c r="CG31" s="574">
        <v>0</v>
      </c>
      <c r="CH31" s="753"/>
      <c r="CI31" s="574">
        <v>0</v>
      </c>
      <c r="CJ31" s="753"/>
      <c r="CK31" s="574">
        <v>0</v>
      </c>
      <c r="CL31" s="753"/>
      <c r="CM31" s="574">
        <v>0</v>
      </c>
      <c r="CN31" s="753"/>
      <c r="CO31" s="574">
        <v>0</v>
      </c>
      <c r="CP31" s="753"/>
      <c r="CQ31" s="574">
        <v>0</v>
      </c>
      <c r="CR31" s="753"/>
      <c r="CS31" s="574">
        <v>0</v>
      </c>
      <c r="CT31" s="753"/>
      <c r="CU31" s="574"/>
      <c r="CV31" s="753"/>
      <c r="CW31" s="574"/>
      <c r="CX31" s="753"/>
      <c r="CY31" s="574"/>
      <c r="CZ31" s="753"/>
      <c r="DA31" s="574"/>
      <c r="DB31" s="753"/>
      <c r="DC31" s="574"/>
      <c r="DD31" s="753"/>
      <c r="DE31" s="576"/>
      <c r="DF31" s="549"/>
      <c r="DG31" s="539"/>
      <c r="DH31" s="767" t="s">
        <v>376</v>
      </c>
      <c r="DI31" s="767"/>
      <c r="DJ31" s="768">
        <v>0</v>
      </c>
      <c r="DK31" s="769">
        <v>0</v>
      </c>
      <c r="DL31" s="770"/>
      <c r="DM31" s="752"/>
      <c r="DN31" s="574"/>
      <c r="DO31" s="753"/>
      <c r="DP31" s="574"/>
      <c r="DQ31" s="753"/>
      <c r="DR31" s="574"/>
      <c r="DS31" s="753"/>
      <c r="DT31" s="574"/>
      <c r="DU31" s="753"/>
      <c r="DV31" s="574"/>
      <c r="DW31" s="753"/>
      <c r="DX31" s="574"/>
      <c r="DY31" s="753"/>
      <c r="DZ31" s="574"/>
      <c r="EA31" s="753"/>
      <c r="EB31" s="574"/>
      <c r="EC31" s="753"/>
      <c r="ED31" s="574">
        <v>0</v>
      </c>
      <c r="EE31" s="753"/>
      <c r="EF31" s="574">
        <v>0</v>
      </c>
      <c r="EG31" s="753"/>
      <c r="EH31" s="574">
        <v>0</v>
      </c>
      <c r="EI31" s="753"/>
      <c r="EJ31" s="574">
        <v>0</v>
      </c>
      <c r="EK31" s="753"/>
      <c r="EL31" s="574">
        <v>0</v>
      </c>
      <c r="EM31" s="753"/>
      <c r="EN31" s="574">
        <v>0</v>
      </c>
      <c r="EO31" s="753"/>
      <c r="EP31" s="574">
        <v>0</v>
      </c>
      <c r="EQ31" s="753"/>
      <c r="ER31" s="574">
        <v>0</v>
      </c>
      <c r="ES31" s="753"/>
      <c r="ET31" s="574">
        <v>0</v>
      </c>
      <c r="EU31" s="753"/>
      <c r="EV31" s="574">
        <v>0</v>
      </c>
      <c r="EW31" s="753"/>
      <c r="EX31" s="574"/>
      <c r="EY31" s="753"/>
      <c r="EZ31" s="574"/>
      <c r="FA31" s="753"/>
      <c r="FB31" s="574"/>
      <c r="FC31" s="753"/>
      <c r="FD31" s="574"/>
      <c r="FE31" s="753"/>
      <c r="FF31" s="574"/>
      <c r="FG31" s="753"/>
      <c r="FH31" s="576"/>
      <c r="FI31" s="550"/>
      <c r="FJ31" s="551"/>
      <c r="FK31" s="767" t="s">
        <v>376</v>
      </c>
      <c r="FL31" s="767"/>
      <c r="FM31" s="771"/>
      <c r="FN31" s="769">
        <v>0</v>
      </c>
      <c r="FO31" s="770"/>
      <c r="FP31" s="679"/>
      <c r="FQ31" s="755"/>
      <c r="FR31" s="574">
        <v>0</v>
      </c>
      <c r="FS31" s="756"/>
      <c r="FT31" s="755"/>
      <c r="FU31" s="579">
        <v>0</v>
      </c>
      <c r="FV31" s="580"/>
      <c r="FW31" s="581"/>
      <c r="FX31" s="582"/>
      <c r="FY31" s="583"/>
      <c r="FZ31" s="584"/>
      <c r="GA31" s="585"/>
      <c r="GB31" s="586"/>
      <c r="GC31" s="587"/>
      <c r="GD31" s="586"/>
      <c r="GE31" s="588"/>
      <c r="GF31" s="745"/>
      <c r="GG31" s="589"/>
      <c r="GH31" s="589"/>
      <c r="GI31" s="589"/>
      <c r="GJ31" s="404"/>
      <c r="GK31" s="567" t="s">
        <v>453</v>
      </c>
      <c r="GL31" s="404"/>
      <c r="GM31" s="567"/>
      <c r="GN31" s="404"/>
      <c r="GO31" s="567"/>
      <c r="GP31" s="761">
        <v>-0.44</v>
      </c>
      <c r="GQ31" s="404"/>
      <c r="GR31" s="404"/>
      <c r="GS31" s="567"/>
      <c r="GT31" s="746"/>
      <c r="GU31" s="762"/>
      <c r="GV31" s="763"/>
      <c r="GW31" s="772" t="s">
        <v>454</v>
      </c>
      <c r="GX31" s="773" t="s">
        <v>455</v>
      </c>
      <c r="GY31" s="774" t="s">
        <v>456</v>
      </c>
      <c r="GZ31" s="775" t="s">
        <v>457</v>
      </c>
      <c r="HA31" s="775" t="s">
        <v>433</v>
      </c>
      <c r="HB31" s="776"/>
      <c r="HC31" s="566"/>
      <c r="HD31" s="549"/>
      <c r="HE31" s="406"/>
      <c r="HF31" s="406"/>
    </row>
    <row r="32" spans="1:218" ht="20.100000000000001" customHeight="1">
      <c r="A32" s="539"/>
      <c r="B32" s="777" t="s">
        <v>377</v>
      </c>
      <c r="C32" s="778"/>
      <c r="D32" s="768"/>
      <c r="E32" s="779"/>
      <c r="F32" s="780"/>
      <c r="G32" s="781"/>
      <c r="H32" s="782"/>
      <c r="I32" s="783"/>
      <c r="J32" s="782"/>
      <c r="K32" s="783"/>
      <c r="L32" s="782"/>
      <c r="M32" s="783"/>
      <c r="N32" s="782"/>
      <c r="O32" s="783"/>
      <c r="P32" s="782"/>
      <c r="Q32" s="783"/>
      <c r="R32" s="782"/>
      <c r="S32" s="783"/>
      <c r="T32" s="782"/>
      <c r="U32" s="783"/>
      <c r="V32" s="782"/>
      <c r="W32" s="783"/>
      <c r="X32" s="782">
        <v>0</v>
      </c>
      <c r="Y32" s="783"/>
      <c r="Z32" s="782">
        <v>0</v>
      </c>
      <c r="AA32" s="783"/>
      <c r="AB32" s="782">
        <v>0</v>
      </c>
      <c r="AC32" s="783"/>
      <c r="AD32" s="782">
        <v>0</v>
      </c>
      <c r="AE32" s="783"/>
      <c r="AF32" s="782">
        <v>0</v>
      </c>
      <c r="AG32" s="783"/>
      <c r="AH32" s="782">
        <v>0</v>
      </c>
      <c r="AI32" s="783"/>
      <c r="AJ32" s="782">
        <v>0</v>
      </c>
      <c r="AK32" s="783"/>
      <c r="AL32" s="782">
        <v>0</v>
      </c>
      <c r="AM32" s="783"/>
      <c r="AN32" s="782">
        <v>0</v>
      </c>
      <c r="AO32" s="783"/>
      <c r="AP32" s="782">
        <v>0</v>
      </c>
      <c r="AQ32" s="783"/>
      <c r="AR32" s="782"/>
      <c r="AS32" s="783"/>
      <c r="AT32" s="782"/>
      <c r="AU32" s="783"/>
      <c r="AV32" s="782"/>
      <c r="AW32" s="783"/>
      <c r="AX32" s="782"/>
      <c r="AY32" s="783"/>
      <c r="AZ32" s="782"/>
      <c r="BA32" s="783"/>
      <c r="BB32" s="784"/>
      <c r="BC32" s="549"/>
      <c r="BD32" s="539"/>
      <c r="BE32" s="777" t="s">
        <v>377</v>
      </c>
      <c r="BF32" s="778"/>
      <c r="BG32" s="768">
        <v>0</v>
      </c>
      <c r="BH32" s="779">
        <v>0</v>
      </c>
      <c r="BI32" s="780"/>
      <c r="BJ32" s="781"/>
      <c r="BK32" s="782"/>
      <c r="BL32" s="783"/>
      <c r="BM32" s="782"/>
      <c r="BN32" s="783"/>
      <c r="BO32" s="782"/>
      <c r="BP32" s="783"/>
      <c r="BQ32" s="782"/>
      <c r="BR32" s="783"/>
      <c r="BS32" s="782"/>
      <c r="BT32" s="783"/>
      <c r="BU32" s="782"/>
      <c r="BV32" s="783"/>
      <c r="BW32" s="782"/>
      <c r="BX32" s="783"/>
      <c r="BY32" s="782"/>
      <c r="BZ32" s="783"/>
      <c r="CA32" s="782">
        <v>0</v>
      </c>
      <c r="CB32" s="783"/>
      <c r="CC32" s="782">
        <v>0</v>
      </c>
      <c r="CD32" s="783"/>
      <c r="CE32" s="782">
        <v>0</v>
      </c>
      <c r="CF32" s="783"/>
      <c r="CG32" s="782">
        <v>0</v>
      </c>
      <c r="CH32" s="783"/>
      <c r="CI32" s="782">
        <v>0</v>
      </c>
      <c r="CJ32" s="783"/>
      <c r="CK32" s="782">
        <v>0</v>
      </c>
      <c r="CL32" s="783"/>
      <c r="CM32" s="782">
        <v>0</v>
      </c>
      <c r="CN32" s="783"/>
      <c r="CO32" s="782">
        <v>0</v>
      </c>
      <c r="CP32" s="783"/>
      <c r="CQ32" s="782">
        <v>0</v>
      </c>
      <c r="CR32" s="783"/>
      <c r="CS32" s="782">
        <v>0</v>
      </c>
      <c r="CT32" s="783"/>
      <c r="CU32" s="782"/>
      <c r="CV32" s="783"/>
      <c r="CW32" s="782"/>
      <c r="CX32" s="783"/>
      <c r="CY32" s="782"/>
      <c r="CZ32" s="783"/>
      <c r="DA32" s="782"/>
      <c r="DB32" s="783"/>
      <c r="DC32" s="782"/>
      <c r="DD32" s="783"/>
      <c r="DE32" s="784"/>
      <c r="DF32" s="549"/>
      <c r="DG32" s="539"/>
      <c r="DH32" s="777" t="s">
        <v>377</v>
      </c>
      <c r="DI32" s="778"/>
      <c r="DJ32" s="768">
        <v>0</v>
      </c>
      <c r="DK32" s="779">
        <v>0</v>
      </c>
      <c r="DL32" s="780"/>
      <c r="DM32" s="781"/>
      <c r="DN32" s="782"/>
      <c r="DO32" s="783"/>
      <c r="DP32" s="782"/>
      <c r="DQ32" s="783"/>
      <c r="DR32" s="782"/>
      <c r="DS32" s="783"/>
      <c r="DT32" s="782"/>
      <c r="DU32" s="783"/>
      <c r="DV32" s="782"/>
      <c r="DW32" s="783"/>
      <c r="DX32" s="782"/>
      <c r="DY32" s="783"/>
      <c r="DZ32" s="782"/>
      <c r="EA32" s="783"/>
      <c r="EB32" s="782"/>
      <c r="EC32" s="783"/>
      <c r="ED32" s="782">
        <v>0</v>
      </c>
      <c r="EE32" s="783"/>
      <c r="EF32" s="782">
        <v>0</v>
      </c>
      <c r="EG32" s="783"/>
      <c r="EH32" s="782">
        <v>0</v>
      </c>
      <c r="EI32" s="783"/>
      <c r="EJ32" s="782">
        <v>0</v>
      </c>
      <c r="EK32" s="783"/>
      <c r="EL32" s="782">
        <v>0</v>
      </c>
      <c r="EM32" s="783"/>
      <c r="EN32" s="782">
        <v>0</v>
      </c>
      <c r="EO32" s="783"/>
      <c r="EP32" s="782">
        <v>0</v>
      </c>
      <c r="EQ32" s="783"/>
      <c r="ER32" s="782">
        <v>0</v>
      </c>
      <c r="ES32" s="783"/>
      <c r="ET32" s="782">
        <v>0</v>
      </c>
      <c r="EU32" s="783"/>
      <c r="EV32" s="782">
        <v>0</v>
      </c>
      <c r="EW32" s="783"/>
      <c r="EX32" s="782"/>
      <c r="EY32" s="783"/>
      <c r="EZ32" s="782"/>
      <c r="FA32" s="783"/>
      <c r="FB32" s="782"/>
      <c r="FC32" s="783"/>
      <c r="FD32" s="782"/>
      <c r="FE32" s="783"/>
      <c r="FF32" s="782"/>
      <c r="FG32" s="783"/>
      <c r="FH32" s="784"/>
      <c r="FI32" s="550"/>
      <c r="FJ32" s="551"/>
      <c r="FK32" s="777" t="s">
        <v>377</v>
      </c>
      <c r="FL32" s="778"/>
      <c r="FM32" s="771"/>
      <c r="FN32" s="779">
        <v>0</v>
      </c>
      <c r="FO32" s="780"/>
      <c r="FP32" s="785"/>
      <c r="FQ32" s="786"/>
      <c r="FR32" s="782">
        <v>0</v>
      </c>
      <c r="FS32" s="787"/>
      <c r="FT32" s="786"/>
      <c r="FU32" s="788">
        <v>0</v>
      </c>
      <c r="FV32" s="580"/>
      <c r="FW32" s="581"/>
      <c r="FX32" s="789"/>
      <c r="FY32" s="583"/>
      <c r="FZ32" s="790"/>
      <c r="GA32" s="585"/>
      <c r="GB32" s="791"/>
      <c r="GC32" s="587"/>
      <c r="GD32" s="791"/>
      <c r="GE32" s="588"/>
      <c r="GF32" s="745"/>
      <c r="GG32" s="589"/>
      <c r="GH32" s="589"/>
      <c r="GI32" s="589"/>
      <c r="GJ32" s="487"/>
      <c r="GK32" s="488"/>
      <c r="GL32" s="488"/>
      <c r="GM32" s="488"/>
      <c r="GN32" s="488"/>
      <c r="GO32" s="488"/>
      <c r="GP32" s="488"/>
      <c r="GQ32" s="488"/>
      <c r="GR32" s="488"/>
      <c r="GS32" s="400"/>
      <c r="GT32" s="746"/>
      <c r="GU32" s="792"/>
      <c r="GV32" s="793"/>
      <c r="GW32" s="772"/>
      <c r="GX32" s="773"/>
      <c r="GY32" s="774"/>
      <c r="GZ32" s="775"/>
      <c r="HA32" s="775"/>
      <c r="HB32" s="776"/>
      <c r="HC32" s="404"/>
      <c r="HD32" s="549"/>
      <c r="HE32" s="406"/>
      <c r="HF32" s="406"/>
    </row>
    <row r="33" spans="1:219" ht="20.100000000000001" customHeight="1">
      <c r="A33" s="628"/>
      <c r="B33" s="629"/>
      <c r="C33" s="629"/>
      <c r="D33" s="630" t="s">
        <v>378</v>
      </c>
      <c r="E33" s="629"/>
      <c r="F33" s="629"/>
      <c r="G33" s="1263"/>
      <c r="H33" s="1264">
        <v>0</v>
      </c>
      <c r="I33" s="1292"/>
      <c r="J33" s="1264">
        <v>0</v>
      </c>
      <c r="K33" s="1292"/>
      <c r="L33" s="1264">
        <v>0</v>
      </c>
      <c r="M33" s="1292"/>
      <c r="N33" s="1264">
        <v>0</v>
      </c>
      <c r="O33" s="1292"/>
      <c r="P33" s="1264">
        <v>0</v>
      </c>
      <c r="Q33" s="1292"/>
      <c r="R33" s="1264">
        <v>0</v>
      </c>
      <c r="S33" s="1292"/>
      <c r="T33" s="1264">
        <v>0</v>
      </c>
      <c r="U33" s="1292"/>
      <c r="V33" s="1264">
        <v>0</v>
      </c>
      <c r="W33" s="1292"/>
      <c r="X33" s="1264">
        <v>2801</v>
      </c>
      <c r="Y33" s="1292"/>
      <c r="Z33" s="1264">
        <v>2801</v>
      </c>
      <c r="AA33" s="1292"/>
      <c r="AB33" s="1264">
        <v>2801</v>
      </c>
      <c r="AC33" s="1292"/>
      <c r="AD33" s="1264">
        <v>2801</v>
      </c>
      <c r="AE33" s="1292"/>
      <c r="AF33" s="1264">
        <v>2801</v>
      </c>
      <c r="AG33" s="1292"/>
      <c r="AH33" s="1264">
        <v>2801</v>
      </c>
      <c r="AI33" s="1292"/>
      <c r="AJ33" s="1264">
        <v>2801</v>
      </c>
      <c r="AK33" s="1292"/>
      <c r="AL33" s="1264">
        <v>2801</v>
      </c>
      <c r="AM33" s="1292"/>
      <c r="AN33" s="1264">
        <v>2801</v>
      </c>
      <c r="AO33" s="1292"/>
      <c r="AP33" s="1264">
        <v>2801</v>
      </c>
      <c r="AQ33" s="1292"/>
      <c r="AR33" s="1264">
        <v>0</v>
      </c>
      <c r="AS33" s="1292"/>
      <c r="AT33" s="1264">
        <v>0</v>
      </c>
      <c r="AU33" s="1292"/>
      <c r="AV33" s="1264">
        <v>0</v>
      </c>
      <c r="AW33" s="1292"/>
      <c r="AX33" s="1264">
        <v>0</v>
      </c>
      <c r="AY33" s="1292"/>
      <c r="AZ33" s="1264">
        <v>0</v>
      </c>
      <c r="BA33" s="1292"/>
      <c r="BB33" s="1266">
        <v>0</v>
      </c>
      <c r="BC33" s="635"/>
      <c r="BD33" s="628"/>
      <c r="BE33" s="629"/>
      <c r="BF33" s="629"/>
      <c r="BG33" s="630" t="s">
        <v>378</v>
      </c>
      <c r="BH33" s="629"/>
      <c r="BI33" s="629"/>
      <c r="BJ33" s="1263"/>
      <c r="BK33" s="1264">
        <v>0</v>
      </c>
      <c r="BL33" s="1292"/>
      <c r="BM33" s="1264">
        <v>0</v>
      </c>
      <c r="BN33" s="1292"/>
      <c r="BO33" s="1264">
        <v>0</v>
      </c>
      <c r="BP33" s="1292"/>
      <c r="BQ33" s="1264">
        <v>0</v>
      </c>
      <c r="BR33" s="1292"/>
      <c r="BS33" s="1264">
        <v>0</v>
      </c>
      <c r="BT33" s="1292"/>
      <c r="BU33" s="1264">
        <v>0</v>
      </c>
      <c r="BV33" s="1292"/>
      <c r="BW33" s="1264">
        <v>0</v>
      </c>
      <c r="BX33" s="1292"/>
      <c r="BY33" s="1264">
        <v>0</v>
      </c>
      <c r="BZ33" s="1292"/>
      <c r="CA33" s="1264">
        <v>2801</v>
      </c>
      <c r="CB33" s="1292"/>
      <c r="CC33" s="1264">
        <v>2801</v>
      </c>
      <c r="CD33" s="1292"/>
      <c r="CE33" s="1264">
        <v>2801</v>
      </c>
      <c r="CF33" s="1292"/>
      <c r="CG33" s="1264">
        <v>2801</v>
      </c>
      <c r="CH33" s="1292"/>
      <c r="CI33" s="1264">
        <v>2801</v>
      </c>
      <c r="CJ33" s="1292"/>
      <c r="CK33" s="1264">
        <v>2801</v>
      </c>
      <c r="CL33" s="1292"/>
      <c r="CM33" s="1264">
        <v>2801</v>
      </c>
      <c r="CN33" s="1292"/>
      <c r="CO33" s="1264">
        <v>2801</v>
      </c>
      <c r="CP33" s="1292"/>
      <c r="CQ33" s="1264">
        <v>2801</v>
      </c>
      <c r="CR33" s="1292"/>
      <c r="CS33" s="1264">
        <v>2801</v>
      </c>
      <c r="CT33" s="1292"/>
      <c r="CU33" s="1264">
        <v>0</v>
      </c>
      <c r="CV33" s="1292"/>
      <c r="CW33" s="1264">
        <v>0</v>
      </c>
      <c r="CX33" s="1292"/>
      <c r="CY33" s="1264">
        <v>0</v>
      </c>
      <c r="CZ33" s="1292"/>
      <c r="DA33" s="1264">
        <v>0</v>
      </c>
      <c r="DB33" s="1292"/>
      <c r="DC33" s="1264">
        <v>0</v>
      </c>
      <c r="DD33" s="1292"/>
      <c r="DE33" s="1266">
        <v>0</v>
      </c>
      <c r="DF33" s="635"/>
      <c r="DG33" s="628"/>
      <c r="DH33" s="629"/>
      <c r="DI33" s="629"/>
      <c r="DJ33" s="630" t="s">
        <v>378</v>
      </c>
      <c r="DK33" s="629"/>
      <c r="DL33" s="629"/>
      <c r="DM33" s="1263"/>
      <c r="DN33" s="1264">
        <v>0</v>
      </c>
      <c r="DO33" s="1292"/>
      <c r="DP33" s="1264">
        <v>0</v>
      </c>
      <c r="DQ33" s="1292"/>
      <c r="DR33" s="1264">
        <v>0</v>
      </c>
      <c r="DS33" s="1292"/>
      <c r="DT33" s="1264">
        <v>0</v>
      </c>
      <c r="DU33" s="1292"/>
      <c r="DV33" s="1264">
        <v>0</v>
      </c>
      <c r="DW33" s="1292"/>
      <c r="DX33" s="1264">
        <v>0</v>
      </c>
      <c r="DY33" s="1292"/>
      <c r="DZ33" s="1264">
        <v>0</v>
      </c>
      <c r="EA33" s="1292"/>
      <c r="EB33" s="1264">
        <v>0</v>
      </c>
      <c r="EC33" s="1292"/>
      <c r="ED33" s="1264">
        <v>2801</v>
      </c>
      <c r="EE33" s="1292"/>
      <c r="EF33" s="1264">
        <v>2801</v>
      </c>
      <c r="EG33" s="1292"/>
      <c r="EH33" s="1264">
        <v>2801</v>
      </c>
      <c r="EI33" s="1292"/>
      <c r="EJ33" s="1264">
        <v>2801</v>
      </c>
      <c r="EK33" s="1292"/>
      <c r="EL33" s="1264">
        <v>2801</v>
      </c>
      <c r="EM33" s="1292"/>
      <c r="EN33" s="1264">
        <v>2801</v>
      </c>
      <c r="EO33" s="1292"/>
      <c r="EP33" s="1264">
        <v>2801</v>
      </c>
      <c r="EQ33" s="1292"/>
      <c r="ER33" s="1264">
        <v>2801</v>
      </c>
      <c r="ES33" s="1292"/>
      <c r="ET33" s="1264">
        <v>2801</v>
      </c>
      <c r="EU33" s="1292"/>
      <c r="EV33" s="1264">
        <v>2801</v>
      </c>
      <c r="EW33" s="1292"/>
      <c r="EX33" s="1264">
        <v>0</v>
      </c>
      <c r="EY33" s="1292"/>
      <c r="EZ33" s="1264">
        <v>0</v>
      </c>
      <c r="FA33" s="1292"/>
      <c r="FB33" s="1264">
        <v>0</v>
      </c>
      <c r="FC33" s="1292"/>
      <c r="FD33" s="1264">
        <v>0</v>
      </c>
      <c r="FE33" s="1292"/>
      <c r="FF33" s="1264">
        <v>0</v>
      </c>
      <c r="FG33" s="1292"/>
      <c r="FH33" s="1266">
        <v>0</v>
      </c>
      <c r="FI33" s="636"/>
      <c r="FJ33" s="551"/>
      <c r="FK33" s="629"/>
      <c r="FL33" s="629"/>
      <c r="FM33" s="630" t="s">
        <v>378</v>
      </c>
      <c r="FN33" s="629"/>
      <c r="FO33" s="629"/>
      <c r="FP33" s="1267"/>
      <c r="FQ33" s="638"/>
      <c r="FR33" s="1264">
        <v>0</v>
      </c>
      <c r="FS33" s="1268"/>
      <c r="FT33" s="638"/>
      <c r="FU33" s="1269">
        <v>0</v>
      </c>
      <c r="FV33" s="580"/>
      <c r="FW33" s="581"/>
      <c r="FX33" s="789"/>
      <c r="FY33" s="583"/>
      <c r="FZ33" s="790"/>
      <c r="GA33" s="585"/>
      <c r="GB33" s="791"/>
      <c r="GC33" s="587"/>
      <c r="GD33" s="791"/>
      <c r="GE33" s="588"/>
      <c r="GF33" s="641"/>
      <c r="GG33" s="642"/>
      <c r="GH33" s="642"/>
      <c r="GI33" s="642"/>
      <c r="GJ33" s="566"/>
      <c r="GK33" s="517" t="s">
        <v>458</v>
      </c>
      <c r="GL33" s="566"/>
      <c r="GM33" s="517"/>
      <c r="GN33" s="566"/>
      <c r="GO33" s="517"/>
      <c r="GP33" s="517"/>
      <c r="GQ33" s="517"/>
      <c r="GR33" s="566"/>
      <c r="GS33" s="517"/>
      <c r="GT33" s="746"/>
      <c r="GU33" s="794">
        <v>211</v>
      </c>
      <c r="GV33" s="795"/>
      <c r="GW33" s="796">
        <v>0</v>
      </c>
      <c r="GX33" s="797">
        <v>0</v>
      </c>
      <c r="GY33" s="797">
        <v>60.13</v>
      </c>
      <c r="GZ33" s="797">
        <v>0</v>
      </c>
      <c r="HA33" s="797">
        <v>60.13</v>
      </c>
      <c r="HB33" s="798">
        <v>37.35</v>
      </c>
      <c r="HC33" s="404"/>
      <c r="HD33" s="635"/>
      <c r="HE33" s="406"/>
      <c r="HF33" s="406"/>
    </row>
    <row r="34" spans="1:219" ht="20.100000000000001" customHeight="1">
      <c r="A34" s="1294" t="s">
        <v>379</v>
      </c>
      <c r="B34" s="726"/>
      <c r="C34" s="800"/>
      <c r="D34" s="801"/>
      <c r="E34" s="800"/>
      <c r="F34" s="802"/>
      <c r="G34" s="723" t="s">
        <v>380</v>
      </c>
      <c r="H34" s="650" t="s">
        <v>368</v>
      </c>
      <c r="I34" s="724" t="s">
        <v>380</v>
      </c>
      <c r="J34" s="650" t="s">
        <v>368</v>
      </c>
      <c r="K34" s="725" t="s">
        <v>380</v>
      </c>
      <c r="L34" s="650" t="s">
        <v>368</v>
      </c>
      <c r="M34" s="725" t="s">
        <v>380</v>
      </c>
      <c r="N34" s="650" t="s">
        <v>368</v>
      </c>
      <c r="O34" s="725" t="s">
        <v>380</v>
      </c>
      <c r="P34" s="650" t="s">
        <v>368</v>
      </c>
      <c r="Q34" s="725" t="s">
        <v>380</v>
      </c>
      <c r="R34" s="650" t="s">
        <v>368</v>
      </c>
      <c r="S34" s="725" t="s">
        <v>380</v>
      </c>
      <c r="T34" s="650" t="s">
        <v>368</v>
      </c>
      <c r="U34" s="725" t="s">
        <v>380</v>
      </c>
      <c r="V34" s="650" t="s">
        <v>368</v>
      </c>
      <c r="W34" s="725" t="s">
        <v>380</v>
      </c>
      <c r="X34" s="650" t="s">
        <v>368</v>
      </c>
      <c r="Y34" s="725" t="s">
        <v>380</v>
      </c>
      <c r="Z34" s="650" t="s">
        <v>368</v>
      </c>
      <c r="AA34" s="725" t="s">
        <v>380</v>
      </c>
      <c r="AB34" s="650" t="s">
        <v>368</v>
      </c>
      <c r="AC34" s="725" t="s">
        <v>380</v>
      </c>
      <c r="AD34" s="650" t="s">
        <v>368</v>
      </c>
      <c r="AE34" s="725" t="s">
        <v>380</v>
      </c>
      <c r="AF34" s="650" t="s">
        <v>368</v>
      </c>
      <c r="AG34" s="725" t="s">
        <v>380</v>
      </c>
      <c r="AH34" s="650" t="s">
        <v>368</v>
      </c>
      <c r="AI34" s="725" t="s">
        <v>380</v>
      </c>
      <c r="AJ34" s="650" t="s">
        <v>368</v>
      </c>
      <c r="AK34" s="725" t="s">
        <v>380</v>
      </c>
      <c r="AL34" s="650" t="s">
        <v>368</v>
      </c>
      <c r="AM34" s="725" t="s">
        <v>380</v>
      </c>
      <c r="AN34" s="650" t="s">
        <v>368</v>
      </c>
      <c r="AO34" s="725" t="s">
        <v>380</v>
      </c>
      <c r="AP34" s="650" t="s">
        <v>368</v>
      </c>
      <c r="AQ34" s="725" t="s">
        <v>380</v>
      </c>
      <c r="AR34" s="650" t="s">
        <v>368</v>
      </c>
      <c r="AS34" s="725" t="s">
        <v>380</v>
      </c>
      <c r="AT34" s="650" t="s">
        <v>368</v>
      </c>
      <c r="AU34" s="725" t="s">
        <v>380</v>
      </c>
      <c r="AV34" s="650" t="s">
        <v>368</v>
      </c>
      <c r="AW34" s="725" t="s">
        <v>380</v>
      </c>
      <c r="AX34" s="650" t="s">
        <v>368</v>
      </c>
      <c r="AY34" s="725" t="s">
        <v>380</v>
      </c>
      <c r="AZ34" s="650" t="s">
        <v>368</v>
      </c>
      <c r="BA34" s="725" t="s">
        <v>380</v>
      </c>
      <c r="BB34" s="652" t="s">
        <v>368</v>
      </c>
      <c r="BC34" s="706"/>
      <c r="BD34" s="1294" t="s">
        <v>379</v>
      </c>
      <c r="BE34" s="721"/>
      <c r="BF34" s="803"/>
      <c r="BG34" s="804"/>
      <c r="BH34" s="803"/>
      <c r="BI34" s="805"/>
      <c r="BJ34" s="723" t="s">
        <v>380</v>
      </c>
      <c r="BK34" s="650" t="s">
        <v>368</v>
      </c>
      <c r="BL34" s="724" t="s">
        <v>380</v>
      </c>
      <c r="BM34" s="650" t="s">
        <v>368</v>
      </c>
      <c r="BN34" s="725" t="s">
        <v>380</v>
      </c>
      <c r="BO34" s="650" t="s">
        <v>368</v>
      </c>
      <c r="BP34" s="725" t="s">
        <v>380</v>
      </c>
      <c r="BQ34" s="650" t="s">
        <v>368</v>
      </c>
      <c r="BR34" s="725" t="s">
        <v>380</v>
      </c>
      <c r="BS34" s="650" t="s">
        <v>368</v>
      </c>
      <c r="BT34" s="725" t="s">
        <v>380</v>
      </c>
      <c r="BU34" s="650" t="s">
        <v>368</v>
      </c>
      <c r="BV34" s="725" t="s">
        <v>380</v>
      </c>
      <c r="BW34" s="650" t="s">
        <v>368</v>
      </c>
      <c r="BX34" s="725" t="s">
        <v>380</v>
      </c>
      <c r="BY34" s="650" t="s">
        <v>368</v>
      </c>
      <c r="BZ34" s="725" t="s">
        <v>380</v>
      </c>
      <c r="CA34" s="650" t="s">
        <v>368</v>
      </c>
      <c r="CB34" s="725" t="s">
        <v>380</v>
      </c>
      <c r="CC34" s="650" t="s">
        <v>368</v>
      </c>
      <c r="CD34" s="725" t="s">
        <v>380</v>
      </c>
      <c r="CE34" s="650" t="s">
        <v>368</v>
      </c>
      <c r="CF34" s="725" t="s">
        <v>380</v>
      </c>
      <c r="CG34" s="650" t="s">
        <v>368</v>
      </c>
      <c r="CH34" s="725" t="s">
        <v>380</v>
      </c>
      <c r="CI34" s="650" t="s">
        <v>368</v>
      </c>
      <c r="CJ34" s="725" t="s">
        <v>380</v>
      </c>
      <c r="CK34" s="650" t="s">
        <v>368</v>
      </c>
      <c r="CL34" s="725" t="s">
        <v>380</v>
      </c>
      <c r="CM34" s="650" t="s">
        <v>368</v>
      </c>
      <c r="CN34" s="725" t="s">
        <v>380</v>
      </c>
      <c r="CO34" s="650" t="s">
        <v>368</v>
      </c>
      <c r="CP34" s="725" t="s">
        <v>380</v>
      </c>
      <c r="CQ34" s="650" t="s">
        <v>368</v>
      </c>
      <c r="CR34" s="725" t="s">
        <v>380</v>
      </c>
      <c r="CS34" s="650" t="s">
        <v>368</v>
      </c>
      <c r="CT34" s="725" t="s">
        <v>380</v>
      </c>
      <c r="CU34" s="650" t="s">
        <v>368</v>
      </c>
      <c r="CV34" s="725" t="s">
        <v>380</v>
      </c>
      <c r="CW34" s="650" t="s">
        <v>368</v>
      </c>
      <c r="CX34" s="725" t="s">
        <v>380</v>
      </c>
      <c r="CY34" s="650" t="s">
        <v>368</v>
      </c>
      <c r="CZ34" s="725" t="s">
        <v>380</v>
      </c>
      <c r="DA34" s="650" t="s">
        <v>368</v>
      </c>
      <c r="DB34" s="725" t="s">
        <v>380</v>
      </c>
      <c r="DC34" s="650" t="s">
        <v>368</v>
      </c>
      <c r="DD34" s="725" t="s">
        <v>380</v>
      </c>
      <c r="DE34" s="652" t="s">
        <v>368</v>
      </c>
      <c r="DF34" s="706"/>
      <c r="DG34" s="1294" t="s">
        <v>379</v>
      </c>
      <c r="DH34" s="721"/>
      <c r="DI34" s="803"/>
      <c r="DJ34" s="804"/>
      <c r="DK34" s="803"/>
      <c r="DL34" s="805"/>
      <c r="DM34" s="723" t="s">
        <v>380</v>
      </c>
      <c r="DN34" s="650" t="s">
        <v>368</v>
      </c>
      <c r="DO34" s="724" t="s">
        <v>380</v>
      </c>
      <c r="DP34" s="650" t="s">
        <v>368</v>
      </c>
      <c r="DQ34" s="725" t="s">
        <v>380</v>
      </c>
      <c r="DR34" s="650" t="s">
        <v>368</v>
      </c>
      <c r="DS34" s="725" t="s">
        <v>380</v>
      </c>
      <c r="DT34" s="650" t="s">
        <v>368</v>
      </c>
      <c r="DU34" s="725" t="s">
        <v>380</v>
      </c>
      <c r="DV34" s="650" t="s">
        <v>368</v>
      </c>
      <c r="DW34" s="725" t="s">
        <v>380</v>
      </c>
      <c r="DX34" s="650" t="s">
        <v>368</v>
      </c>
      <c r="DY34" s="725" t="s">
        <v>380</v>
      </c>
      <c r="DZ34" s="650" t="s">
        <v>368</v>
      </c>
      <c r="EA34" s="725" t="s">
        <v>380</v>
      </c>
      <c r="EB34" s="650" t="s">
        <v>368</v>
      </c>
      <c r="EC34" s="725" t="s">
        <v>380</v>
      </c>
      <c r="ED34" s="650" t="s">
        <v>368</v>
      </c>
      <c r="EE34" s="725" t="s">
        <v>380</v>
      </c>
      <c r="EF34" s="650" t="s">
        <v>368</v>
      </c>
      <c r="EG34" s="725" t="s">
        <v>380</v>
      </c>
      <c r="EH34" s="650" t="s">
        <v>368</v>
      </c>
      <c r="EI34" s="725" t="s">
        <v>380</v>
      </c>
      <c r="EJ34" s="650" t="s">
        <v>368</v>
      </c>
      <c r="EK34" s="725" t="s">
        <v>380</v>
      </c>
      <c r="EL34" s="650" t="s">
        <v>368</v>
      </c>
      <c r="EM34" s="725" t="s">
        <v>380</v>
      </c>
      <c r="EN34" s="650" t="s">
        <v>368</v>
      </c>
      <c r="EO34" s="725" t="s">
        <v>380</v>
      </c>
      <c r="EP34" s="650" t="s">
        <v>368</v>
      </c>
      <c r="EQ34" s="725" t="s">
        <v>380</v>
      </c>
      <c r="ER34" s="650" t="s">
        <v>368</v>
      </c>
      <c r="ES34" s="725" t="s">
        <v>380</v>
      </c>
      <c r="ET34" s="650" t="s">
        <v>368</v>
      </c>
      <c r="EU34" s="725" t="s">
        <v>380</v>
      </c>
      <c r="EV34" s="650" t="s">
        <v>368</v>
      </c>
      <c r="EW34" s="725" t="s">
        <v>380</v>
      </c>
      <c r="EX34" s="650" t="s">
        <v>368</v>
      </c>
      <c r="EY34" s="725" t="s">
        <v>380</v>
      </c>
      <c r="EZ34" s="650" t="s">
        <v>368</v>
      </c>
      <c r="FA34" s="725" t="s">
        <v>380</v>
      </c>
      <c r="FB34" s="650" t="s">
        <v>368</v>
      </c>
      <c r="FC34" s="725" t="s">
        <v>380</v>
      </c>
      <c r="FD34" s="650" t="s">
        <v>368</v>
      </c>
      <c r="FE34" s="725" t="s">
        <v>380</v>
      </c>
      <c r="FF34" s="650" t="s">
        <v>368</v>
      </c>
      <c r="FG34" s="725" t="s">
        <v>380</v>
      </c>
      <c r="FH34" s="652" t="s">
        <v>368</v>
      </c>
      <c r="FI34" s="729"/>
      <c r="FJ34" s="806" t="s">
        <v>379</v>
      </c>
      <c r="FK34" s="721"/>
      <c r="FL34" s="803"/>
      <c r="FM34" s="804"/>
      <c r="FN34" s="803"/>
      <c r="FO34" s="805"/>
      <c r="FP34" s="730" t="s">
        <v>370</v>
      </c>
      <c r="FQ34" s="656" t="s">
        <v>380</v>
      </c>
      <c r="FR34" s="650" t="s">
        <v>371</v>
      </c>
      <c r="FS34" s="731" t="s">
        <v>370</v>
      </c>
      <c r="FT34" s="656" t="s">
        <v>380</v>
      </c>
      <c r="FU34" s="658" t="s">
        <v>371</v>
      </c>
      <c r="FV34" s="580"/>
      <c r="FW34" s="581"/>
      <c r="FX34" s="789"/>
      <c r="FY34" s="583"/>
      <c r="FZ34" s="790"/>
      <c r="GA34" s="585"/>
      <c r="GB34" s="791"/>
      <c r="GC34" s="587"/>
      <c r="GD34" s="791"/>
      <c r="GE34" s="588"/>
      <c r="GF34" s="732"/>
      <c r="GG34" s="733"/>
      <c r="GH34" s="733"/>
      <c r="GI34" s="733"/>
      <c r="GJ34" s="566"/>
      <c r="GK34" s="807" t="s">
        <v>550</v>
      </c>
      <c r="GL34" s="807"/>
      <c r="GM34" s="807"/>
      <c r="GN34" s="807"/>
      <c r="GO34" s="807"/>
      <c r="GP34" s="807"/>
      <c r="GQ34" s="602">
        <v>7</v>
      </c>
      <c r="GR34" s="566" t="s">
        <v>440</v>
      </c>
      <c r="GS34" s="567"/>
      <c r="GT34" s="746"/>
      <c r="GU34" s="808"/>
      <c r="GV34" s="809"/>
      <c r="GW34" s="810"/>
      <c r="GX34" s="620"/>
      <c r="GY34" s="620"/>
      <c r="GZ34" s="620"/>
      <c r="HA34" s="620"/>
      <c r="HB34" s="621"/>
      <c r="HC34" s="517"/>
      <c r="HD34" s="706"/>
      <c r="HE34" s="406"/>
      <c r="HF34" s="406"/>
    </row>
    <row r="35" spans="1:219" ht="20.100000000000001" customHeight="1">
      <c r="A35" s="811"/>
      <c r="B35" s="453" t="s">
        <v>381</v>
      </c>
      <c r="C35" s="454"/>
      <c r="D35" s="812">
        <v>0</v>
      </c>
      <c r="E35" s="813">
        <v>0</v>
      </c>
      <c r="F35" s="814"/>
      <c r="G35" s="815"/>
      <c r="H35" s="816">
        <v>0</v>
      </c>
      <c r="I35" s="817"/>
      <c r="J35" s="782">
        <v>0</v>
      </c>
      <c r="K35" s="818"/>
      <c r="L35" s="782">
        <v>0</v>
      </c>
      <c r="M35" s="818"/>
      <c r="N35" s="782">
        <v>0</v>
      </c>
      <c r="O35" s="818"/>
      <c r="P35" s="782">
        <v>0</v>
      </c>
      <c r="Q35" s="818"/>
      <c r="R35" s="782">
        <v>0</v>
      </c>
      <c r="S35" s="818"/>
      <c r="T35" s="782">
        <v>0</v>
      </c>
      <c r="U35" s="818"/>
      <c r="V35" s="782">
        <v>0</v>
      </c>
      <c r="W35" s="818"/>
      <c r="X35" s="782">
        <v>0</v>
      </c>
      <c r="Y35" s="818"/>
      <c r="Z35" s="782">
        <v>0</v>
      </c>
      <c r="AA35" s="818"/>
      <c r="AB35" s="782">
        <v>0</v>
      </c>
      <c r="AC35" s="818"/>
      <c r="AD35" s="782">
        <v>0</v>
      </c>
      <c r="AE35" s="818"/>
      <c r="AF35" s="782">
        <v>0</v>
      </c>
      <c r="AG35" s="818"/>
      <c r="AH35" s="782">
        <v>0</v>
      </c>
      <c r="AI35" s="818"/>
      <c r="AJ35" s="782">
        <v>0</v>
      </c>
      <c r="AK35" s="818"/>
      <c r="AL35" s="782">
        <v>0</v>
      </c>
      <c r="AM35" s="818"/>
      <c r="AN35" s="782">
        <v>0</v>
      </c>
      <c r="AO35" s="818"/>
      <c r="AP35" s="782">
        <v>0</v>
      </c>
      <c r="AQ35" s="818"/>
      <c r="AR35" s="782">
        <v>0</v>
      </c>
      <c r="AS35" s="818"/>
      <c r="AT35" s="782">
        <v>0</v>
      </c>
      <c r="AU35" s="818"/>
      <c r="AV35" s="782">
        <v>0</v>
      </c>
      <c r="AW35" s="818"/>
      <c r="AX35" s="782">
        <v>0</v>
      </c>
      <c r="AY35" s="818"/>
      <c r="AZ35" s="782">
        <v>0</v>
      </c>
      <c r="BA35" s="818"/>
      <c r="BB35" s="819">
        <v>0</v>
      </c>
      <c r="BC35" s="549"/>
      <c r="BD35" s="811"/>
      <c r="BE35" s="453" t="s">
        <v>298</v>
      </c>
      <c r="BF35" s="454"/>
      <c r="BG35" s="812">
        <v>0</v>
      </c>
      <c r="BH35" s="813">
        <v>0</v>
      </c>
      <c r="BI35" s="814"/>
      <c r="BJ35" s="815"/>
      <c r="BK35" s="816">
        <v>0</v>
      </c>
      <c r="BL35" s="817"/>
      <c r="BM35" s="782">
        <v>0</v>
      </c>
      <c r="BN35" s="818"/>
      <c r="BO35" s="782">
        <v>0</v>
      </c>
      <c r="BP35" s="818"/>
      <c r="BQ35" s="782">
        <v>0</v>
      </c>
      <c r="BR35" s="818"/>
      <c r="BS35" s="782">
        <v>0</v>
      </c>
      <c r="BT35" s="818"/>
      <c r="BU35" s="782">
        <v>0</v>
      </c>
      <c r="BV35" s="818"/>
      <c r="BW35" s="782">
        <v>0</v>
      </c>
      <c r="BX35" s="818"/>
      <c r="BY35" s="782">
        <v>0</v>
      </c>
      <c r="BZ35" s="818"/>
      <c r="CA35" s="782">
        <v>0</v>
      </c>
      <c r="CB35" s="818"/>
      <c r="CC35" s="782">
        <v>0</v>
      </c>
      <c r="CD35" s="818"/>
      <c r="CE35" s="782">
        <v>0</v>
      </c>
      <c r="CF35" s="818"/>
      <c r="CG35" s="782">
        <v>0</v>
      </c>
      <c r="CH35" s="818"/>
      <c r="CI35" s="782">
        <v>0</v>
      </c>
      <c r="CJ35" s="818"/>
      <c r="CK35" s="782">
        <v>0</v>
      </c>
      <c r="CL35" s="818"/>
      <c r="CM35" s="782">
        <v>0</v>
      </c>
      <c r="CN35" s="818"/>
      <c r="CO35" s="782">
        <v>0</v>
      </c>
      <c r="CP35" s="818"/>
      <c r="CQ35" s="782">
        <v>0</v>
      </c>
      <c r="CR35" s="818"/>
      <c r="CS35" s="782">
        <v>0</v>
      </c>
      <c r="CT35" s="818"/>
      <c r="CU35" s="782">
        <v>0</v>
      </c>
      <c r="CV35" s="818"/>
      <c r="CW35" s="782">
        <v>0</v>
      </c>
      <c r="CX35" s="818"/>
      <c r="CY35" s="782">
        <v>0</v>
      </c>
      <c r="CZ35" s="818"/>
      <c r="DA35" s="782">
        <v>0</v>
      </c>
      <c r="DB35" s="818"/>
      <c r="DC35" s="782">
        <v>0</v>
      </c>
      <c r="DD35" s="818"/>
      <c r="DE35" s="819">
        <v>0</v>
      </c>
      <c r="DF35" s="549"/>
      <c r="DG35" s="811"/>
      <c r="DH35" s="453" t="s">
        <v>298</v>
      </c>
      <c r="DI35" s="454"/>
      <c r="DJ35" s="812">
        <v>0</v>
      </c>
      <c r="DK35" s="813">
        <v>0</v>
      </c>
      <c r="DL35" s="814"/>
      <c r="DM35" s="815"/>
      <c r="DN35" s="816">
        <v>0</v>
      </c>
      <c r="DO35" s="817"/>
      <c r="DP35" s="782">
        <v>0</v>
      </c>
      <c r="DQ35" s="818"/>
      <c r="DR35" s="782">
        <v>0</v>
      </c>
      <c r="DS35" s="818"/>
      <c r="DT35" s="782">
        <v>0</v>
      </c>
      <c r="DU35" s="818"/>
      <c r="DV35" s="782">
        <v>0</v>
      </c>
      <c r="DW35" s="818"/>
      <c r="DX35" s="782">
        <v>0</v>
      </c>
      <c r="DY35" s="818"/>
      <c r="DZ35" s="782">
        <v>0</v>
      </c>
      <c r="EA35" s="818"/>
      <c r="EB35" s="782">
        <v>0</v>
      </c>
      <c r="EC35" s="818"/>
      <c r="ED35" s="782">
        <v>0</v>
      </c>
      <c r="EE35" s="818"/>
      <c r="EF35" s="782">
        <v>0</v>
      </c>
      <c r="EG35" s="818"/>
      <c r="EH35" s="782">
        <v>0</v>
      </c>
      <c r="EI35" s="818"/>
      <c r="EJ35" s="782">
        <v>0</v>
      </c>
      <c r="EK35" s="818"/>
      <c r="EL35" s="782">
        <v>0</v>
      </c>
      <c r="EM35" s="818"/>
      <c r="EN35" s="782">
        <v>0</v>
      </c>
      <c r="EO35" s="818"/>
      <c r="EP35" s="782">
        <v>0</v>
      </c>
      <c r="EQ35" s="818"/>
      <c r="ER35" s="782">
        <v>0</v>
      </c>
      <c r="ES35" s="818"/>
      <c r="ET35" s="782">
        <v>0</v>
      </c>
      <c r="EU35" s="818"/>
      <c r="EV35" s="782">
        <v>0</v>
      </c>
      <c r="EW35" s="818"/>
      <c r="EX35" s="782">
        <v>0</v>
      </c>
      <c r="EY35" s="818"/>
      <c r="EZ35" s="782">
        <v>0</v>
      </c>
      <c r="FA35" s="818"/>
      <c r="FB35" s="782">
        <v>0</v>
      </c>
      <c r="FC35" s="818"/>
      <c r="FD35" s="782">
        <v>0</v>
      </c>
      <c r="FE35" s="818"/>
      <c r="FF35" s="782">
        <v>0</v>
      </c>
      <c r="FG35" s="818"/>
      <c r="FH35" s="819">
        <v>0</v>
      </c>
      <c r="FI35" s="550"/>
      <c r="FJ35" s="820"/>
      <c r="FK35" s="453" t="s">
        <v>298</v>
      </c>
      <c r="FL35" s="454"/>
      <c r="FM35" s="812">
        <v>0</v>
      </c>
      <c r="FN35" s="813">
        <v>0</v>
      </c>
      <c r="FO35" s="814"/>
      <c r="FP35" s="821"/>
      <c r="FQ35" s="817"/>
      <c r="FR35" s="816">
        <v>0</v>
      </c>
      <c r="FS35" s="822"/>
      <c r="FT35" s="817"/>
      <c r="FU35" s="788">
        <v>0</v>
      </c>
      <c r="FV35" s="580"/>
      <c r="FW35" s="581"/>
      <c r="FX35" s="789"/>
      <c r="FY35" s="583"/>
      <c r="FZ35" s="790"/>
      <c r="GA35" s="585"/>
      <c r="GB35" s="791"/>
      <c r="GC35" s="587"/>
      <c r="GD35" s="791"/>
      <c r="GE35" s="588"/>
      <c r="GF35" s="823"/>
      <c r="GG35" s="589"/>
      <c r="GH35" s="589"/>
      <c r="GI35" s="589"/>
      <c r="GJ35" s="517"/>
      <c r="GK35" s="517" t="s">
        <v>460</v>
      </c>
      <c r="GL35" s="517"/>
      <c r="GM35" s="566"/>
      <c r="GN35" s="517"/>
      <c r="GO35" s="566"/>
      <c r="GP35" s="566"/>
      <c r="GQ35" s="566"/>
      <c r="GR35" s="566"/>
      <c r="GS35" s="400"/>
      <c r="GT35" s="746"/>
      <c r="GU35" s="808"/>
      <c r="GV35" s="809"/>
      <c r="GW35" s="810"/>
      <c r="GX35" s="620"/>
      <c r="GY35" s="620"/>
      <c r="GZ35" s="620"/>
      <c r="HA35" s="620"/>
      <c r="HB35" s="621"/>
      <c r="HC35" s="517"/>
      <c r="HD35" s="549"/>
      <c r="HE35" s="406"/>
      <c r="HF35" s="406"/>
    </row>
    <row r="36" spans="1:219" ht="20.100000000000001" customHeight="1">
      <c r="A36" s="811"/>
      <c r="B36" s="629"/>
      <c r="C36" s="629"/>
      <c r="D36" s="630" t="s">
        <v>382</v>
      </c>
      <c r="E36" s="629"/>
      <c r="F36" s="629"/>
      <c r="G36" s="1275"/>
      <c r="H36" s="1295">
        <v>0</v>
      </c>
      <c r="I36" s="1296"/>
      <c r="J36" s="827">
        <v>0</v>
      </c>
      <c r="K36" s="1278"/>
      <c r="L36" s="827">
        <v>0</v>
      </c>
      <c r="M36" s="1278"/>
      <c r="N36" s="827">
        <v>0</v>
      </c>
      <c r="O36" s="1278"/>
      <c r="P36" s="827">
        <v>0</v>
      </c>
      <c r="Q36" s="1278"/>
      <c r="R36" s="827">
        <v>0</v>
      </c>
      <c r="S36" s="1278"/>
      <c r="T36" s="827">
        <v>0</v>
      </c>
      <c r="U36" s="1278"/>
      <c r="V36" s="827">
        <v>0</v>
      </c>
      <c r="W36" s="1278"/>
      <c r="X36" s="827">
        <v>0</v>
      </c>
      <c r="Y36" s="1278"/>
      <c r="Z36" s="827">
        <v>0</v>
      </c>
      <c r="AA36" s="1278"/>
      <c r="AB36" s="827">
        <v>0</v>
      </c>
      <c r="AC36" s="1278"/>
      <c r="AD36" s="827">
        <v>0</v>
      </c>
      <c r="AE36" s="1278"/>
      <c r="AF36" s="827">
        <v>0</v>
      </c>
      <c r="AG36" s="1278"/>
      <c r="AH36" s="827">
        <v>0</v>
      </c>
      <c r="AI36" s="1278"/>
      <c r="AJ36" s="827">
        <v>0</v>
      </c>
      <c r="AK36" s="1278"/>
      <c r="AL36" s="827">
        <v>0</v>
      </c>
      <c r="AM36" s="1278"/>
      <c r="AN36" s="827">
        <v>0</v>
      </c>
      <c r="AO36" s="1278"/>
      <c r="AP36" s="827">
        <v>0</v>
      </c>
      <c r="AQ36" s="1278"/>
      <c r="AR36" s="827">
        <v>0</v>
      </c>
      <c r="AS36" s="1278"/>
      <c r="AT36" s="827">
        <v>0</v>
      </c>
      <c r="AU36" s="1278"/>
      <c r="AV36" s="827">
        <v>0</v>
      </c>
      <c r="AW36" s="1278"/>
      <c r="AX36" s="827">
        <v>0</v>
      </c>
      <c r="AY36" s="1278"/>
      <c r="AZ36" s="827">
        <v>0</v>
      </c>
      <c r="BA36" s="1278"/>
      <c r="BB36" s="1297">
        <v>0</v>
      </c>
      <c r="BC36" s="635"/>
      <c r="BD36" s="811"/>
      <c r="BE36" s="629"/>
      <c r="BF36" s="629"/>
      <c r="BG36" s="630" t="s">
        <v>382</v>
      </c>
      <c r="BH36" s="629"/>
      <c r="BI36" s="629"/>
      <c r="BJ36" s="1275"/>
      <c r="BK36" s="1295">
        <v>0</v>
      </c>
      <c r="BL36" s="1296"/>
      <c r="BM36" s="827">
        <v>0</v>
      </c>
      <c r="BN36" s="1278"/>
      <c r="BO36" s="827">
        <v>0</v>
      </c>
      <c r="BP36" s="1278"/>
      <c r="BQ36" s="827">
        <v>0</v>
      </c>
      <c r="BR36" s="1278"/>
      <c r="BS36" s="827">
        <v>0</v>
      </c>
      <c r="BT36" s="1278"/>
      <c r="BU36" s="827">
        <v>0</v>
      </c>
      <c r="BV36" s="1278"/>
      <c r="BW36" s="827">
        <v>0</v>
      </c>
      <c r="BX36" s="1278"/>
      <c r="BY36" s="827">
        <v>0</v>
      </c>
      <c r="BZ36" s="1278"/>
      <c r="CA36" s="827">
        <v>0</v>
      </c>
      <c r="CB36" s="1278"/>
      <c r="CC36" s="827">
        <v>0</v>
      </c>
      <c r="CD36" s="1278"/>
      <c r="CE36" s="827">
        <v>0</v>
      </c>
      <c r="CF36" s="1278"/>
      <c r="CG36" s="827">
        <v>0</v>
      </c>
      <c r="CH36" s="1278"/>
      <c r="CI36" s="827">
        <v>0</v>
      </c>
      <c r="CJ36" s="1278"/>
      <c r="CK36" s="827">
        <v>0</v>
      </c>
      <c r="CL36" s="1278"/>
      <c r="CM36" s="827">
        <v>0</v>
      </c>
      <c r="CN36" s="1278"/>
      <c r="CO36" s="827">
        <v>0</v>
      </c>
      <c r="CP36" s="1278"/>
      <c r="CQ36" s="827">
        <v>0</v>
      </c>
      <c r="CR36" s="1278"/>
      <c r="CS36" s="827">
        <v>0</v>
      </c>
      <c r="CT36" s="1278"/>
      <c r="CU36" s="827">
        <v>0</v>
      </c>
      <c r="CV36" s="1278"/>
      <c r="CW36" s="827">
        <v>0</v>
      </c>
      <c r="CX36" s="1278"/>
      <c r="CY36" s="827">
        <v>0</v>
      </c>
      <c r="CZ36" s="1278"/>
      <c r="DA36" s="827">
        <v>0</v>
      </c>
      <c r="DB36" s="1278"/>
      <c r="DC36" s="827">
        <v>0</v>
      </c>
      <c r="DD36" s="1278"/>
      <c r="DE36" s="1297">
        <v>0</v>
      </c>
      <c r="DF36" s="635"/>
      <c r="DG36" s="811"/>
      <c r="DH36" s="629"/>
      <c r="DI36" s="629"/>
      <c r="DJ36" s="630" t="s">
        <v>382</v>
      </c>
      <c r="DK36" s="629"/>
      <c r="DL36" s="629"/>
      <c r="DM36" s="1275"/>
      <c r="DN36" s="1295">
        <v>0</v>
      </c>
      <c r="DO36" s="1296"/>
      <c r="DP36" s="827">
        <v>0</v>
      </c>
      <c r="DQ36" s="1278"/>
      <c r="DR36" s="827">
        <v>0</v>
      </c>
      <c r="DS36" s="1278"/>
      <c r="DT36" s="827">
        <v>0</v>
      </c>
      <c r="DU36" s="1278"/>
      <c r="DV36" s="827">
        <v>0</v>
      </c>
      <c r="DW36" s="1278"/>
      <c r="DX36" s="827">
        <v>0</v>
      </c>
      <c r="DY36" s="1278"/>
      <c r="DZ36" s="827">
        <v>0</v>
      </c>
      <c r="EA36" s="1278"/>
      <c r="EB36" s="827">
        <v>0</v>
      </c>
      <c r="EC36" s="1278"/>
      <c r="ED36" s="827">
        <v>0</v>
      </c>
      <c r="EE36" s="1278"/>
      <c r="EF36" s="827">
        <v>0</v>
      </c>
      <c r="EG36" s="1278"/>
      <c r="EH36" s="827">
        <v>0</v>
      </c>
      <c r="EI36" s="1278"/>
      <c r="EJ36" s="827">
        <v>0</v>
      </c>
      <c r="EK36" s="1278"/>
      <c r="EL36" s="827">
        <v>0</v>
      </c>
      <c r="EM36" s="1278"/>
      <c r="EN36" s="827">
        <v>0</v>
      </c>
      <c r="EO36" s="1278"/>
      <c r="EP36" s="827">
        <v>0</v>
      </c>
      <c r="EQ36" s="1278"/>
      <c r="ER36" s="827">
        <v>0</v>
      </c>
      <c r="ES36" s="1278"/>
      <c r="ET36" s="827">
        <v>0</v>
      </c>
      <c r="EU36" s="1278"/>
      <c r="EV36" s="827">
        <v>0</v>
      </c>
      <c r="EW36" s="1278"/>
      <c r="EX36" s="827">
        <v>0</v>
      </c>
      <c r="EY36" s="1278"/>
      <c r="EZ36" s="827">
        <v>0</v>
      </c>
      <c r="FA36" s="1278"/>
      <c r="FB36" s="827">
        <v>0</v>
      </c>
      <c r="FC36" s="1278"/>
      <c r="FD36" s="827">
        <v>0</v>
      </c>
      <c r="FE36" s="1278"/>
      <c r="FF36" s="827">
        <v>0</v>
      </c>
      <c r="FG36" s="1278"/>
      <c r="FH36" s="1297">
        <v>0</v>
      </c>
      <c r="FI36" s="636"/>
      <c r="FJ36" s="820"/>
      <c r="FK36" s="629"/>
      <c r="FL36" s="629"/>
      <c r="FM36" s="630" t="s">
        <v>382</v>
      </c>
      <c r="FN36" s="629"/>
      <c r="FO36" s="629"/>
      <c r="FP36" s="1267"/>
      <c r="FQ36" s="1296"/>
      <c r="FR36" s="1295">
        <v>0</v>
      </c>
      <c r="FS36" s="1298"/>
      <c r="FT36" s="1296"/>
      <c r="FU36" s="1299">
        <v>0</v>
      </c>
      <c r="FV36" s="580"/>
      <c r="FW36" s="581"/>
      <c r="FX36" s="789"/>
      <c r="FY36" s="583"/>
      <c r="FZ36" s="790"/>
      <c r="GA36" s="585"/>
      <c r="GB36" s="791"/>
      <c r="GC36" s="587"/>
      <c r="GD36" s="791"/>
      <c r="GE36" s="588"/>
      <c r="GF36" s="641"/>
      <c r="GG36" s="642"/>
      <c r="GH36" s="642"/>
      <c r="GI36" s="642"/>
      <c r="GJ36" s="517"/>
      <c r="GK36" s="807" t="s">
        <v>461</v>
      </c>
      <c r="GL36" s="807"/>
      <c r="GM36" s="807"/>
      <c r="GN36" s="807"/>
      <c r="GO36" s="807"/>
      <c r="GP36" s="807"/>
      <c r="GQ36" s="602">
        <v>0</v>
      </c>
      <c r="GR36" s="566" t="s">
        <v>440</v>
      </c>
      <c r="GS36" s="517"/>
      <c r="GT36" s="746"/>
      <c r="GU36" s="808"/>
      <c r="GV36" s="809"/>
      <c r="GW36" s="810"/>
      <c r="GX36" s="620"/>
      <c r="GY36" s="620"/>
      <c r="GZ36" s="620"/>
      <c r="HA36" s="620"/>
      <c r="HB36" s="621"/>
      <c r="HC36" s="517"/>
      <c r="HD36" s="635"/>
      <c r="HE36" s="406"/>
      <c r="HF36" s="406"/>
    </row>
    <row r="37" spans="1:219" ht="24" customHeight="1">
      <c r="A37" s="832" t="s">
        <v>383</v>
      </c>
      <c r="B37" s="833"/>
      <c r="C37" s="834" t="s">
        <v>384</v>
      </c>
      <c r="D37" s="835"/>
      <c r="E37" s="836" t="s">
        <v>385</v>
      </c>
      <c r="F37" s="837"/>
      <c r="G37" s="649" t="s">
        <v>380</v>
      </c>
      <c r="H37" s="650" t="s">
        <v>386</v>
      </c>
      <c r="I37" s="651" t="s">
        <v>380</v>
      </c>
      <c r="J37" s="650" t="s">
        <v>387</v>
      </c>
      <c r="K37" s="651" t="s">
        <v>380</v>
      </c>
      <c r="L37" s="650" t="s">
        <v>387</v>
      </c>
      <c r="M37" s="651" t="s">
        <v>380</v>
      </c>
      <c r="N37" s="650" t="s">
        <v>387</v>
      </c>
      <c r="O37" s="651" t="s">
        <v>380</v>
      </c>
      <c r="P37" s="650" t="s">
        <v>387</v>
      </c>
      <c r="Q37" s="651" t="s">
        <v>380</v>
      </c>
      <c r="R37" s="650" t="s">
        <v>387</v>
      </c>
      <c r="S37" s="651" t="s">
        <v>380</v>
      </c>
      <c r="T37" s="650" t="s">
        <v>387</v>
      </c>
      <c r="U37" s="651" t="s">
        <v>380</v>
      </c>
      <c r="V37" s="650" t="s">
        <v>387</v>
      </c>
      <c r="W37" s="651" t="s">
        <v>380</v>
      </c>
      <c r="X37" s="650" t="s">
        <v>387</v>
      </c>
      <c r="Y37" s="651" t="s">
        <v>380</v>
      </c>
      <c r="Z37" s="650" t="s">
        <v>387</v>
      </c>
      <c r="AA37" s="651" t="s">
        <v>380</v>
      </c>
      <c r="AB37" s="650" t="s">
        <v>387</v>
      </c>
      <c r="AC37" s="651" t="s">
        <v>380</v>
      </c>
      <c r="AD37" s="650" t="s">
        <v>387</v>
      </c>
      <c r="AE37" s="651" t="s">
        <v>380</v>
      </c>
      <c r="AF37" s="650" t="s">
        <v>387</v>
      </c>
      <c r="AG37" s="651" t="s">
        <v>380</v>
      </c>
      <c r="AH37" s="650" t="s">
        <v>387</v>
      </c>
      <c r="AI37" s="651" t="s">
        <v>380</v>
      </c>
      <c r="AJ37" s="650" t="s">
        <v>387</v>
      </c>
      <c r="AK37" s="651" t="s">
        <v>380</v>
      </c>
      <c r="AL37" s="650" t="s">
        <v>387</v>
      </c>
      <c r="AM37" s="651" t="s">
        <v>380</v>
      </c>
      <c r="AN37" s="650" t="s">
        <v>387</v>
      </c>
      <c r="AO37" s="651" t="s">
        <v>380</v>
      </c>
      <c r="AP37" s="650" t="s">
        <v>387</v>
      </c>
      <c r="AQ37" s="651" t="s">
        <v>380</v>
      </c>
      <c r="AR37" s="650" t="s">
        <v>387</v>
      </c>
      <c r="AS37" s="651" t="s">
        <v>380</v>
      </c>
      <c r="AT37" s="650" t="s">
        <v>387</v>
      </c>
      <c r="AU37" s="651" t="s">
        <v>380</v>
      </c>
      <c r="AV37" s="650" t="s">
        <v>387</v>
      </c>
      <c r="AW37" s="651" t="s">
        <v>380</v>
      </c>
      <c r="AX37" s="650" t="s">
        <v>387</v>
      </c>
      <c r="AY37" s="651" t="s">
        <v>380</v>
      </c>
      <c r="AZ37" s="650" t="s">
        <v>387</v>
      </c>
      <c r="BA37" s="651" t="s">
        <v>380</v>
      </c>
      <c r="BB37" s="652" t="s">
        <v>387</v>
      </c>
      <c r="BC37" s="706"/>
      <c r="BD37" s="832" t="s">
        <v>383</v>
      </c>
      <c r="BE37" s="833"/>
      <c r="BF37" s="834" t="s">
        <v>384</v>
      </c>
      <c r="BG37" s="835"/>
      <c r="BH37" s="836" t="s">
        <v>385</v>
      </c>
      <c r="BI37" s="837"/>
      <c r="BJ37" s="649" t="s">
        <v>380</v>
      </c>
      <c r="BK37" s="650" t="s">
        <v>386</v>
      </c>
      <c r="BL37" s="651" t="s">
        <v>380</v>
      </c>
      <c r="BM37" s="650" t="s">
        <v>387</v>
      </c>
      <c r="BN37" s="651" t="s">
        <v>380</v>
      </c>
      <c r="BO37" s="650" t="s">
        <v>387</v>
      </c>
      <c r="BP37" s="651" t="s">
        <v>380</v>
      </c>
      <c r="BQ37" s="650" t="s">
        <v>387</v>
      </c>
      <c r="BR37" s="651" t="s">
        <v>380</v>
      </c>
      <c r="BS37" s="650" t="s">
        <v>387</v>
      </c>
      <c r="BT37" s="651" t="s">
        <v>380</v>
      </c>
      <c r="BU37" s="650" t="s">
        <v>387</v>
      </c>
      <c r="BV37" s="651" t="s">
        <v>380</v>
      </c>
      <c r="BW37" s="650" t="s">
        <v>387</v>
      </c>
      <c r="BX37" s="651" t="s">
        <v>380</v>
      </c>
      <c r="BY37" s="650" t="s">
        <v>387</v>
      </c>
      <c r="BZ37" s="651" t="s">
        <v>380</v>
      </c>
      <c r="CA37" s="650" t="s">
        <v>387</v>
      </c>
      <c r="CB37" s="651" t="s">
        <v>380</v>
      </c>
      <c r="CC37" s="650" t="s">
        <v>387</v>
      </c>
      <c r="CD37" s="651" t="s">
        <v>380</v>
      </c>
      <c r="CE37" s="650" t="s">
        <v>387</v>
      </c>
      <c r="CF37" s="651" t="s">
        <v>380</v>
      </c>
      <c r="CG37" s="650" t="s">
        <v>387</v>
      </c>
      <c r="CH37" s="651" t="s">
        <v>380</v>
      </c>
      <c r="CI37" s="650" t="s">
        <v>387</v>
      </c>
      <c r="CJ37" s="651" t="s">
        <v>380</v>
      </c>
      <c r="CK37" s="650" t="s">
        <v>387</v>
      </c>
      <c r="CL37" s="651" t="s">
        <v>380</v>
      </c>
      <c r="CM37" s="650" t="s">
        <v>387</v>
      </c>
      <c r="CN37" s="651" t="s">
        <v>380</v>
      </c>
      <c r="CO37" s="650" t="s">
        <v>387</v>
      </c>
      <c r="CP37" s="651" t="s">
        <v>380</v>
      </c>
      <c r="CQ37" s="650" t="s">
        <v>387</v>
      </c>
      <c r="CR37" s="651" t="s">
        <v>380</v>
      </c>
      <c r="CS37" s="650" t="s">
        <v>387</v>
      </c>
      <c r="CT37" s="651" t="s">
        <v>380</v>
      </c>
      <c r="CU37" s="650" t="s">
        <v>387</v>
      </c>
      <c r="CV37" s="651" t="s">
        <v>380</v>
      </c>
      <c r="CW37" s="650" t="s">
        <v>387</v>
      </c>
      <c r="CX37" s="651" t="s">
        <v>380</v>
      </c>
      <c r="CY37" s="650" t="s">
        <v>387</v>
      </c>
      <c r="CZ37" s="651" t="s">
        <v>380</v>
      </c>
      <c r="DA37" s="650" t="s">
        <v>387</v>
      </c>
      <c r="DB37" s="651" t="s">
        <v>380</v>
      </c>
      <c r="DC37" s="650" t="s">
        <v>387</v>
      </c>
      <c r="DD37" s="651" t="s">
        <v>380</v>
      </c>
      <c r="DE37" s="652" t="s">
        <v>387</v>
      </c>
      <c r="DF37" s="706"/>
      <c r="DG37" s="832" t="s">
        <v>383</v>
      </c>
      <c r="DH37" s="833"/>
      <c r="DI37" s="834" t="s">
        <v>384</v>
      </c>
      <c r="DJ37" s="835"/>
      <c r="DK37" s="836" t="s">
        <v>385</v>
      </c>
      <c r="DL37" s="837"/>
      <c r="DM37" s="649" t="s">
        <v>380</v>
      </c>
      <c r="DN37" s="650" t="s">
        <v>386</v>
      </c>
      <c r="DO37" s="651" t="s">
        <v>380</v>
      </c>
      <c r="DP37" s="650" t="s">
        <v>387</v>
      </c>
      <c r="DQ37" s="651" t="s">
        <v>380</v>
      </c>
      <c r="DR37" s="650" t="s">
        <v>387</v>
      </c>
      <c r="DS37" s="651" t="s">
        <v>380</v>
      </c>
      <c r="DT37" s="650" t="s">
        <v>387</v>
      </c>
      <c r="DU37" s="651" t="s">
        <v>380</v>
      </c>
      <c r="DV37" s="650" t="s">
        <v>387</v>
      </c>
      <c r="DW37" s="651" t="s">
        <v>380</v>
      </c>
      <c r="DX37" s="650" t="s">
        <v>387</v>
      </c>
      <c r="DY37" s="651" t="s">
        <v>380</v>
      </c>
      <c r="DZ37" s="650" t="s">
        <v>387</v>
      </c>
      <c r="EA37" s="651" t="s">
        <v>380</v>
      </c>
      <c r="EB37" s="650" t="s">
        <v>387</v>
      </c>
      <c r="EC37" s="651" t="s">
        <v>380</v>
      </c>
      <c r="ED37" s="650" t="s">
        <v>387</v>
      </c>
      <c r="EE37" s="651" t="s">
        <v>380</v>
      </c>
      <c r="EF37" s="650" t="s">
        <v>387</v>
      </c>
      <c r="EG37" s="651" t="s">
        <v>380</v>
      </c>
      <c r="EH37" s="650" t="s">
        <v>387</v>
      </c>
      <c r="EI37" s="651" t="s">
        <v>380</v>
      </c>
      <c r="EJ37" s="650" t="s">
        <v>387</v>
      </c>
      <c r="EK37" s="651" t="s">
        <v>380</v>
      </c>
      <c r="EL37" s="650" t="s">
        <v>387</v>
      </c>
      <c r="EM37" s="651" t="s">
        <v>380</v>
      </c>
      <c r="EN37" s="650" t="s">
        <v>387</v>
      </c>
      <c r="EO37" s="651" t="s">
        <v>380</v>
      </c>
      <c r="EP37" s="650" t="s">
        <v>387</v>
      </c>
      <c r="EQ37" s="651" t="s">
        <v>380</v>
      </c>
      <c r="ER37" s="650" t="s">
        <v>387</v>
      </c>
      <c r="ES37" s="651" t="s">
        <v>380</v>
      </c>
      <c r="ET37" s="650" t="s">
        <v>387</v>
      </c>
      <c r="EU37" s="651" t="s">
        <v>380</v>
      </c>
      <c r="EV37" s="650" t="s">
        <v>387</v>
      </c>
      <c r="EW37" s="651" t="s">
        <v>380</v>
      </c>
      <c r="EX37" s="650" t="s">
        <v>387</v>
      </c>
      <c r="EY37" s="651" t="s">
        <v>380</v>
      </c>
      <c r="EZ37" s="650" t="s">
        <v>387</v>
      </c>
      <c r="FA37" s="651" t="s">
        <v>380</v>
      </c>
      <c r="FB37" s="650" t="s">
        <v>387</v>
      </c>
      <c r="FC37" s="651" t="s">
        <v>380</v>
      </c>
      <c r="FD37" s="650" t="s">
        <v>387</v>
      </c>
      <c r="FE37" s="651" t="s">
        <v>380</v>
      </c>
      <c r="FF37" s="650" t="s">
        <v>387</v>
      </c>
      <c r="FG37" s="651" t="s">
        <v>380</v>
      </c>
      <c r="FH37" s="652" t="s">
        <v>387</v>
      </c>
      <c r="FI37" s="729"/>
      <c r="FJ37" s="806" t="s">
        <v>383</v>
      </c>
      <c r="FK37" s="833"/>
      <c r="FL37" s="834" t="s">
        <v>384</v>
      </c>
      <c r="FM37" s="835"/>
      <c r="FN37" s="836" t="s">
        <v>385</v>
      </c>
      <c r="FO37" s="837"/>
      <c r="FP37" s="655"/>
      <c r="FQ37" s="838" t="s">
        <v>388</v>
      </c>
      <c r="FR37" s="650" t="s">
        <v>387</v>
      </c>
      <c r="FS37" s="657"/>
      <c r="FT37" s="838" t="s">
        <v>388</v>
      </c>
      <c r="FU37" s="658" t="s">
        <v>387</v>
      </c>
      <c r="FV37" s="580"/>
      <c r="FW37" s="581"/>
      <c r="FX37" s="789"/>
      <c r="FY37" s="583"/>
      <c r="FZ37" s="790"/>
      <c r="GA37" s="585"/>
      <c r="GB37" s="791"/>
      <c r="GC37" s="587"/>
      <c r="GD37" s="791"/>
      <c r="GE37" s="588"/>
      <c r="GF37" s="839"/>
      <c r="GG37" s="733"/>
      <c r="GH37" s="733"/>
      <c r="GI37" s="733"/>
      <c r="GJ37" s="517"/>
      <c r="GK37" s="404"/>
      <c r="GL37" s="567"/>
      <c r="GM37" s="404"/>
      <c r="GN37" s="567"/>
      <c r="GO37" s="404"/>
      <c r="GP37" s="404"/>
      <c r="GQ37" s="404"/>
      <c r="GR37" s="404"/>
      <c r="GS37" s="517"/>
      <c r="GT37" s="840"/>
      <c r="GU37" s="808"/>
      <c r="GV37" s="809"/>
      <c r="GW37" s="810"/>
      <c r="GX37" s="620"/>
      <c r="GY37" s="620"/>
      <c r="GZ37" s="620"/>
      <c r="HA37" s="620"/>
      <c r="HB37" s="621"/>
      <c r="HC37" s="517"/>
      <c r="HD37" s="706"/>
      <c r="HE37" s="406"/>
      <c r="HF37" s="406"/>
    </row>
    <row r="38" spans="1:219" ht="20.100000000000001" customHeight="1">
      <c r="A38" s="841"/>
      <c r="B38" s="842" t="s">
        <v>390</v>
      </c>
      <c r="C38" s="843"/>
      <c r="D38" s="844"/>
      <c r="E38" s="845"/>
      <c r="F38" s="846"/>
      <c r="G38" s="665"/>
      <c r="H38" s="847">
        <v>0</v>
      </c>
      <c r="I38" s="666"/>
      <c r="J38" s="847">
        <v>0</v>
      </c>
      <c r="K38" s="666"/>
      <c r="L38" s="847">
        <v>0</v>
      </c>
      <c r="M38" s="666"/>
      <c r="N38" s="847">
        <v>0</v>
      </c>
      <c r="O38" s="666"/>
      <c r="P38" s="847">
        <v>0</v>
      </c>
      <c r="Q38" s="666"/>
      <c r="R38" s="847">
        <v>0</v>
      </c>
      <c r="S38" s="666"/>
      <c r="T38" s="847">
        <v>0</v>
      </c>
      <c r="U38" s="666"/>
      <c r="V38" s="847">
        <v>0</v>
      </c>
      <c r="W38" s="666"/>
      <c r="X38" s="847">
        <v>0</v>
      </c>
      <c r="Y38" s="666"/>
      <c r="Z38" s="847">
        <v>0</v>
      </c>
      <c r="AA38" s="666"/>
      <c r="AB38" s="847">
        <v>0</v>
      </c>
      <c r="AC38" s="666"/>
      <c r="AD38" s="847">
        <v>0</v>
      </c>
      <c r="AE38" s="666"/>
      <c r="AF38" s="847">
        <v>0</v>
      </c>
      <c r="AG38" s="666"/>
      <c r="AH38" s="847">
        <v>0</v>
      </c>
      <c r="AI38" s="666"/>
      <c r="AJ38" s="847">
        <v>0</v>
      </c>
      <c r="AK38" s="666"/>
      <c r="AL38" s="847">
        <v>0</v>
      </c>
      <c r="AM38" s="666"/>
      <c r="AN38" s="847">
        <v>0</v>
      </c>
      <c r="AO38" s="666"/>
      <c r="AP38" s="847">
        <v>0</v>
      </c>
      <c r="AQ38" s="666"/>
      <c r="AR38" s="847">
        <v>0</v>
      </c>
      <c r="AS38" s="666"/>
      <c r="AT38" s="847">
        <v>0</v>
      </c>
      <c r="AU38" s="666"/>
      <c r="AV38" s="847">
        <v>0</v>
      </c>
      <c r="AW38" s="666"/>
      <c r="AX38" s="847">
        <v>0</v>
      </c>
      <c r="AY38" s="666"/>
      <c r="AZ38" s="847">
        <v>0</v>
      </c>
      <c r="BA38" s="666"/>
      <c r="BB38" s="848">
        <v>0</v>
      </c>
      <c r="BC38" s="549"/>
      <c r="BD38" s="841"/>
      <c r="BE38" s="842" t="s">
        <v>389</v>
      </c>
      <c r="BF38" s="849"/>
      <c r="BG38" s="850"/>
      <c r="BH38" s="845"/>
      <c r="BI38" s="846"/>
      <c r="BJ38" s="665"/>
      <c r="BK38" s="847">
        <v>0</v>
      </c>
      <c r="BL38" s="666"/>
      <c r="BM38" s="847">
        <v>0</v>
      </c>
      <c r="BN38" s="666"/>
      <c r="BO38" s="847">
        <v>0</v>
      </c>
      <c r="BP38" s="666"/>
      <c r="BQ38" s="847">
        <v>0</v>
      </c>
      <c r="BR38" s="666"/>
      <c r="BS38" s="847">
        <v>0</v>
      </c>
      <c r="BT38" s="666"/>
      <c r="BU38" s="847">
        <v>0</v>
      </c>
      <c r="BV38" s="666"/>
      <c r="BW38" s="847">
        <v>0</v>
      </c>
      <c r="BX38" s="666"/>
      <c r="BY38" s="847">
        <v>0</v>
      </c>
      <c r="BZ38" s="666"/>
      <c r="CA38" s="847">
        <v>0</v>
      </c>
      <c r="CB38" s="666"/>
      <c r="CC38" s="847">
        <v>0</v>
      </c>
      <c r="CD38" s="666"/>
      <c r="CE38" s="847">
        <v>0</v>
      </c>
      <c r="CF38" s="666"/>
      <c r="CG38" s="847">
        <v>0</v>
      </c>
      <c r="CH38" s="666"/>
      <c r="CI38" s="847">
        <v>0</v>
      </c>
      <c r="CJ38" s="666"/>
      <c r="CK38" s="847">
        <v>0</v>
      </c>
      <c r="CL38" s="666"/>
      <c r="CM38" s="847">
        <v>0</v>
      </c>
      <c r="CN38" s="666"/>
      <c r="CO38" s="847">
        <v>0</v>
      </c>
      <c r="CP38" s="666"/>
      <c r="CQ38" s="847">
        <v>0</v>
      </c>
      <c r="CR38" s="666"/>
      <c r="CS38" s="847">
        <v>0</v>
      </c>
      <c r="CT38" s="666"/>
      <c r="CU38" s="847">
        <v>0</v>
      </c>
      <c r="CV38" s="666"/>
      <c r="CW38" s="847">
        <v>0</v>
      </c>
      <c r="CX38" s="666"/>
      <c r="CY38" s="847">
        <v>0</v>
      </c>
      <c r="CZ38" s="666"/>
      <c r="DA38" s="847">
        <v>0</v>
      </c>
      <c r="DB38" s="666"/>
      <c r="DC38" s="847">
        <v>0</v>
      </c>
      <c r="DD38" s="666"/>
      <c r="DE38" s="848">
        <v>0</v>
      </c>
      <c r="DF38" s="549"/>
      <c r="DG38" s="841"/>
      <c r="DH38" s="842" t="s">
        <v>389</v>
      </c>
      <c r="DI38" s="849"/>
      <c r="DJ38" s="850"/>
      <c r="DK38" s="845"/>
      <c r="DL38" s="846"/>
      <c r="DM38" s="665"/>
      <c r="DN38" s="847">
        <v>0</v>
      </c>
      <c r="DO38" s="666"/>
      <c r="DP38" s="847">
        <v>0</v>
      </c>
      <c r="DQ38" s="666"/>
      <c r="DR38" s="847">
        <v>0</v>
      </c>
      <c r="DS38" s="666"/>
      <c r="DT38" s="847">
        <v>0</v>
      </c>
      <c r="DU38" s="666"/>
      <c r="DV38" s="847">
        <v>0</v>
      </c>
      <c r="DW38" s="666"/>
      <c r="DX38" s="847">
        <v>0</v>
      </c>
      <c r="DY38" s="666"/>
      <c r="DZ38" s="847">
        <v>0</v>
      </c>
      <c r="EA38" s="666"/>
      <c r="EB38" s="847">
        <v>0</v>
      </c>
      <c r="EC38" s="666"/>
      <c r="ED38" s="847">
        <v>0</v>
      </c>
      <c r="EE38" s="666"/>
      <c r="EF38" s="847">
        <v>0</v>
      </c>
      <c r="EG38" s="666"/>
      <c r="EH38" s="847">
        <v>0</v>
      </c>
      <c r="EI38" s="666"/>
      <c r="EJ38" s="847">
        <v>0</v>
      </c>
      <c r="EK38" s="666"/>
      <c r="EL38" s="847">
        <v>0</v>
      </c>
      <c r="EM38" s="666"/>
      <c r="EN38" s="847">
        <v>0</v>
      </c>
      <c r="EO38" s="666"/>
      <c r="EP38" s="847">
        <v>0</v>
      </c>
      <c r="EQ38" s="666"/>
      <c r="ER38" s="847">
        <v>0</v>
      </c>
      <c r="ES38" s="666"/>
      <c r="ET38" s="847">
        <v>0</v>
      </c>
      <c r="EU38" s="666"/>
      <c r="EV38" s="847">
        <v>0</v>
      </c>
      <c r="EW38" s="666"/>
      <c r="EX38" s="847">
        <v>0</v>
      </c>
      <c r="EY38" s="666"/>
      <c r="EZ38" s="847">
        <v>0</v>
      </c>
      <c r="FA38" s="666"/>
      <c r="FB38" s="847">
        <v>0</v>
      </c>
      <c r="FC38" s="666"/>
      <c r="FD38" s="847">
        <v>0</v>
      </c>
      <c r="FE38" s="666"/>
      <c r="FF38" s="847">
        <v>0</v>
      </c>
      <c r="FG38" s="666"/>
      <c r="FH38" s="848">
        <v>0</v>
      </c>
      <c r="FI38" s="550"/>
      <c r="FJ38" s="806"/>
      <c r="FK38" s="842" t="s">
        <v>389</v>
      </c>
      <c r="FL38" s="843"/>
      <c r="FM38" s="844"/>
      <c r="FN38" s="845">
        <v>0</v>
      </c>
      <c r="FO38" s="846"/>
      <c r="FP38" s="668"/>
      <c r="FQ38" s="669"/>
      <c r="FR38" s="546">
        <v>0</v>
      </c>
      <c r="FS38" s="670"/>
      <c r="FT38" s="669"/>
      <c r="FU38" s="554">
        <v>0</v>
      </c>
      <c r="FV38" s="580"/>
      <c r="FW38" s="581"/>
      <c r="FX38" s="789"/>
      <c r="FY38" s="583"/>
      <c r="FZ38" s="790"/>
      <c r="GA38" s="585"/>
      <c r="GB38" s="791"/>
      <c r="GC38" s="587"/>
      <c r="GD38" s="791"/>
      <c r="GE38" s="588"/>
      <c r="GF38" s="671"/>
      <c r="GG38" s="589"/>
      <c r="GH38" s="589"/>
      <c r="GI38" s="589"/>
      <c r="GJ38" s="567"/>
      <c r="GK38" s="404" t="s">
        <v>462</v>
      </c>
      <c r="GL38" s="400"/>
      <c r="GM38" s="404"/>
      <c r="GN38" s="400"/>
      <c r="GO38" s="404"/>
      <c r="GP38" s="404"/>
      <c r="GQ38" s="404"/>
      <c r="GR38" s="404"/>
      <c r="GS38" s="567"/>
      <c r="GT38" s="840"/>
      <c r="GU38" s="851" t="s">
        <v>433</v>
      </c>
      <c r="GV38" s="852"/>
      <c r="GW38" s="852"/>
      <c r="GX38" s="852"/>
      <c r="GY38" s="852"/>
      <c r="GZ38" s="853"/>
      <c r="HA38" s="620">
        <v>60.13</v>
      </c>
      <c r="HB38" s="854">
        <v>37.35</v>
      </c>
      <c r="HC38" s="517"/>
      <c r="HD38" s="517"/>
      <c r="HE38" s="378"/>
      <c r="HF38" s="378"/>
      <c r="HK38" s="406"/>
    </row>
    <row r="39" spans="1:219" ht="20.100000000000001" customHeight="1">
      <c r="A39" s="811"/>
      <c r="B39" s="855" t="s">
        <v>392</v>
      </c>
      <c r="C39" s="856"/>
      <c r="D39" s="857"/>
      <c r="E39" s="858"/>
      <c r="F39" s="859"/>
      <c r="G39" s="677"/>
      <c r="H39" s="860">
        <v>0</v>
      </c>
      <c r="I39" s="678"/>
      <c r="J39" s="860">
        <v>0</v>
      </c>
      <c r="K39" s="678"/>
      <c r="L39" s="860">
        <v>0</v>
      </c>
      <c r="M39" s="678"/>
      <c r="N39" s="860">
        <v>0</v>
      </c>
      <c r="O39" s="678"/>
      <c r="P39" s="860">
        <v>0</v>
      </c>
      <c r="Q39" s="678"/>
      <c r="R39" s="860">
        <v>0</v>
      </c>
      <c r="S39" s="678"/>
      <c r="T39" s="860">
        <v>0</v>
      </c>
      <c r="U39" s="678"/>
      <c r="V39" s="860">
        <v>0</v>
      </c>
      <c r="W39" s="678"/>
      <c r="X39" s="860">
        <v>0</v>
      </c>
      <c r="Y39" s="678"/>
      <c r="Z39" s="860">
        <v>0</v>
      </c>
      <c r="AA39" s="678"/>
      <c r="AB39" s="860">
        <v>0</v>
      </c>
      <c r="AC39" s="678"/>
      <c r="AD39" s="860">
        <v>0</v>
      </c>
      <c r="AE39" s="678"/>
      <c r="AF39" s="860">
        <v>0</v>
      </c>
      <c r="AG39" s="678"/>
      <c r="AH39" s="860">
        <v>0</v>
      </c>
      <c r="AI39" s="678"/>
      <c r="AJ39" s="860">
        <v>0</v>
      </c>
      <c r="AK39" s="678"/>
      <c r="AL39" s="860">
        <v>0</v>
      </c>
      <c r="AM39" s="678"/>
      <c r="AN39" s="860">
        <v>0</v>
      </c>
      <c r="AO39" s="678"/>
      <c r="AP39" s="860">
        <v>0</v>
      </c>
      <c r="AQ39" s="678"/>
      <c r="AR39" s="860">
        <v>0</v>
      </c>
      <c r="AS39" s="678"/>
      <c r="AT39" s="860">
        <v>0</v>
      </c>
      <c r="AU39" s="678"/>
      <c r="AV39" s="860">
        <v>0</v>
      </c>
      <c r="AW39" s="678"/>
      <c r="AX39" s="860">
        <v>0</v>
      </c>
      <c r="AY39" s="678"/>
      <c r="AZ39" s="860">
        <v>0</v>
      </c>
      <c r="BA39" s="678"/>
      <c r="BB39" s="861">
        <v>0</v>
      </c>
      <c r="BC39" s="549"/>
      <c r="BD39" s="811"/>
      <c r="BE39" s="855" t="s">
        <v>391</v>
      </c>
      <c r="BF39" s="862"/>
      <c r="BG39" s="863"/>
      <c r="BH39" s="858"/>
      <c r="BI39" s="859"/>
      <c r="BJ39" s="677"/>
      <c r="BK39" s="860">
        <v>0</v>
      </c>
      <c r="BL39" s="678"/>
      <c r="BM39" s="860">
        <v>0</v>
      </c>
      <c r="BN39" s="678"/>
      <c r="BO39" s="860">
        <v>0</v>
      </c>
      <c r="BP39" s="678"/>
      <c r="BQ39" s="860">
        <v>0</v>
      </c>
      <c r="BR39" s="678"/>
      <c r="BS39" s="860">
        <v>0</v>
      </c>
      <c r="BT39" s="678"/>
      <c r="BU39" s="860">
        <v>0</v>
      </c>
      <c r="BV39" s="678"/>
      <c r="BW39" s="860">
        <v>0</v>
      </c>
      <c r="BX39" s="678"/>
      <c r="BY39" s="860">
        <v>0</v>
      </c>
      <c r="BZ39" s="678"/>
      <c r="CA39" s="860">
        <v>0</v>
      </c>
      <c r="CB39" s="678"/>
      <c r="CC39" s="860">
        <v>0</v>
      </c>
      <c r="CD39" s="678"/>
      <c r="CE39" s="860">
        <v>0</v>
      </c>
      <c r="CF39" s="678"/>
      <c r="CG39" s="860">
        <v>0</v>
      </c>
      <c r="CH39" s="678"/>
      <c r="CI39" s="860">
        <v>0</v>
      </c>
      <c r="CJ39" s="678"/>
      <c r="CK39" s="860">
        <v>0</v>
      </c>
      <c r="CL39" s="678"/>
      <c r="CM39" s="860">
        <v>0</v>
      </c>
      <c r="CN39" s="678"/>
      <c r="CO39" s="860">
        <v>0</v>
      </c>
      <c r="CP39" s="678"/>
      <c r="CQ39" s="860">
        <v>0</v>
      </c>
      <c r="CR39" s="678"/>
      <c r="CS39" s="860">
        <v>0</v>
      </c>
      <c r="CT39" s="678"/>
      <c r="CU39" s="860">
        <v>0</v>
      </c>
      <c r="CV39" s="678"/>
      <c r="CW39" s="860">
        <v>0</v>
      </c>
      <c r="CX39" s="678"/>
      <c r="CY39" s="860">
        <v>0</v>
      </c>
      <c r="CZ39" s="678"/>
      <c r="DA39" s="860">
        <v>0</v>
      </c>
      <c r="DB39" s="678"/>
      <c r="DC39" s="860">
        <v>0</v>
      </c>
      <c r="DD39" s="678"/>
      <c r="DE39" s="861">
        <v>0</v>
      </c>
      <c r="DF39" s="549"/>
      <c r="DG39" s="811"/>
      <c r="DH39" s="855" t="s">
        <v>391</v>
      </c>
      <c r="DI39" s="862"/>
      <c r="DJ39" s="863"/>
      <c r="DK39" s="858"/>
      <c r="DL39" s="859"/>
      <c r="DM39" s="677"/>
      <c r="DN39" s="860">
        <v>0</v>
      </c>
      <c r="DO39" s="678"/>
      <c r="DP39" s="860">
        <v>0</v>
      </c>
      <c r="DQ39" s="678"/>
      <c r="DR39" s="860">
        <v>0</v>
      </c>
      <c r="DS39" s="678"/>
      <c r="DT39" s="860">
        <v>0</v>
      </c>
      <c r="DU39" s="678"/>
      <c r="DV39" s="860">
        <v>0</v>
      </c>
      <c r="DW39" s="678"/>
      <c r="DX39" s="860">
        <v>0</v>
      </c>
      <c r="DY39" s="678"/>
      <c r="DZ39" s="860">
        <v>0</v>
      </c>
      <c r="EA39" s="678"/>
      <c r="EB39" s="860">
        <v>0</v>
      </c>
      <c r="EC39" s="678"/>
      <c r="ED39" s="860">
        <v>0</v>
      </c>
      <c r="EE39" s="678"/>
      <c r="EF39" s="860">
        <v>0</v>
      </c>
      <c r="EG39" s="678"/>
      <c r="EH39" s="860">
        <v>0</v>
      </c>
      <c r="EI39" s="678"/>
      <c r="EJ39" s="860">
        <v>0</v>
      </c>
      <c r="EK39" s="678"/>
      <c r="EL39" s="860">
        <v>0</v>
      </c>
      <c r="EM39" s="678"/>
      <c r="EN39" s="860">
        <v>0</v>
      </c>
      <c r="EO39" s="678"/>
      <c r="EP39" s="860">
        <v>0</v>
      </c>
      <c r="EQ39" s="678"/>
      <c r="ER39" s="860">
        <v>0</v>
      </c>
      <c r="ES39" s="678"/>
      <c r="ET39" s="860">
        <v>0</v>
      </c>
      <c r="EU39" s="678"/>
      <c r="EV39" s="860">
        <v>0</v>
      </c>
      <c r="EW39" s="678"/>
      <c r="EX39" s="860">
        <v>0</v>
      </c>
      <c r="EY39" s="678"/>
      <c r="EZ39" s="860">
        <v>0</v>
      </c>
      <c r="FA39" s="678"/>
      <c r="FB39" s="860">
        <v>0</v>
      </c>
      <c r="FC39" s="678"/>
      <c r="FD39" s="860">
        <v>0</v>
      </c>
      <c r="FE39" s="678"/>
      <c r="FF39" s="860">
        <v>0</v>
      </c>
      <c r="FG39" s="678"/>
      <c r="FH39" s="861">
        <v>0</v>
      </c>
      <c r="FI39" s="550"/>
      <c r="FJ39" s="820"/>
      <c r="FK39" s="855" t="s">
        <v>391</v>
      </c>
      <c r="FL39" s="856"/>
      <c r="FM39" s="857"/>
      <c r="FN39" s="858">
        <v>0</v>
      </c>
      <c r="FO39" s="859"/>
      <c r="FP39" s="679"/>
      <c r="FQ39" s="680"/>
      <c r="FR39" s="574">
        <v>0</v>
      </c>
      <c r="FS39" s="681"/>
      <c r="FT39" s="680"/>
      <c r="FU39" s="579">
        <v>0</v>
      </c>
      <c r="FV39" s="580"/>
      <c r="FW39" s="581"/>
      <c r="FX39" s="789"/>
      <c r="FY39" s="583"/>
      <c r="FZ39" s="790"/>
      <c r="GA39" s="585"/>
      <c r="GB39" s="791"/>
      <c r="GC39" s="587"/>
      <c r="GD39" s="791"/>
      <c r="GE39" s="588"/>
      <c r="GF39" s="671"/>
      <c r="GG39" s="589"/>
      <c r="GH39" s="589"/>
      <c r="GI39" s="589"/>
      <c r="GJ39" s="400"/>
      <c r="GK39" s="864"/>
      <c r="GL39" s="865"/>
      <c r="GM39" s="866" t="s">
        <v>463</v>
      </c>
      <c r="GN39" s="865"/>
      <c r="GO39" s="866" t="s">
        <v>464</v>
      </c>
      <c r="GP39" s="865"/>
      <c r="GQ39" s="866" t="s">
        <v>465</v>
      </c>
      <c r="GR39" s="867"/>
      <c r="GS39" s="404"/>
      <c r="GT39" s="672"/>
      <c r="GU39" s="517" t="s">
        <v>466</v>
      </c>
      <c r="GV39" s="517"/>
      <c r="GW39" s="517"/>
      <c r="GX39" s="517"/>
      <c r="GY39" s="517"/>
      <c r="GZ39" s="517"/>
      <c r="HA39" s="673">
        <v>1.61</v>
      </c>
      <c r="HB39" s="566"/>
      <c r="HC39" s="517"/>
      <c r="HD39" s="549"/>
    </row>
    <row r="40" spans="1:219" ht="20.100000000000001" customHeight="1">
      <c r="A40" s="868"/>
      <c r="B40" s="629"/>
      <c r="C40" s="629"/>
      <c r="D40" s="630" t="s">
        <v>393</v>
      </c>
      <c r="E40" s="629"/>
      <c r="F40" s="629"/>
      <c r="G40" s="1275"/>
      <c r="H40" s="1295">
        <v>0</v>
      </c>
      <c r="I40" s="1296"/>
      <c r="J40" s="827">
        <v>0</v>
      </c>
      <c r="K40" s="1278"/>
      <c r="L40" s="827">
        <v>0</v>
      </c>
      <c r="M40" s="1278"/>
      <c r="N40" s="827">
        <v>0</v>
      </c>
      <c r="O40" s="1278"/>
      <c r="P40" s="827">
        <v>0</v>
      </c>
      <c r="Q40" s="1278"/>
      <c r="R40" s="827">
        <v>0</v>
      </c>
      <c r="S40" s="1278"/>
      <c r="T40" s="827">
        <v>0</v>
      </c>
      <c r="U40" s="1278"/>
      <c r="V40" s="827">
        <v>0</v>
      </c>
      <c r="W40" s="1278"/>
      <c r="X40" s="827">
        <v>0</v>
      </c>
      <c r="Y40" s="1278"/>
      <c r="Z40" s="827">
        <v>0</v>
      </c>
      <c r="AA40" s="1278"/>
      <c r="AB40" s="827">
        <v>0</v>
      </c>
      <c r="AC40" s="1278"/>
      <c r="AD40" s="827">
        <v>0</v>
      </c>
      <c r="AE40" s="1278"/>
      <c r="AF40" s="827">
        <v>0</v>
      </c>
      <c r="AG40" s="1278"/>
      <c r="AH40" s="827">
        <v>0</v>
      </c>
      <c r="AI40" s="1278"/>
      <c r="AJ40" s="827">
        <v>0</v>
      </c>
      <c r="AK40" s="1278"/>
      <c r="AL40" s="827">
        <v>0</v>
      </c>
      <c r="AM40" s="1278"/>
      <c r="AN40" s="827">
        <v>0</v>
      </c>
      <c r="AO40" s="1278"/>
      <c r="AP40" s="827">
        <v>0</v>
      </c>
      <c r="AQ40" s="1278"/>
      <c r="AR40" s="827">
        <v>0</v>
      </c>
      <c r="AS40" s="1278"/>
      <c r="AT40" s="827">
        <v>0</v>
      </c>
      <c r="AU40" s="1278"/>
      <c r="AV40" s="827">
        <v>0</v>
      </c>
      <c r="AW40" s="1278"/>
      <c r="AX40" s="827">
        <v>0</v>
      </c>
      <c r="AY40" s="1278"/>
      <c r="AZ40" s="827">
        <v>0</v>
      </c>
      <c r="BA40" s="1278"/>
      <c r="BB40" s="1297">
        <v>0</v>
      </c>
      <c r="BC40" s="635"/>
      <c r="BD40" s="868"/>
      <c r="BE40" s="629"/>
      <c r="BF40" s="629"/>
      <c r="BG40" s="630" t="s">
        <v>393</v>
      </c>
      <c r="BH40" s="629"/>
      <c r="BI40" s="629"/>
      <c r="BJ40" s="1275"/>
      <c r="BK40" s="1295">
        <v>0</v>
      </c>
      <c r="BL40" s="1296"/>
      <c r="BM40" s="827">
        <v>0</v>
      </c>
      <c r="BN40" s="1278"/>
      <c r="BO40" s="827">
        <v>0</v>
      </c>
      <c r="BP40" s="1278"/>
      <c r="BQ40" s="827">
        <v>0</v>
      </c>
      <c r="BR40" s="1278"/>
      <c r="BS40" s="827">
        <v>0</v>
      </c>
      <c r="BT40" s="1278"/>
      <c r="BU40" s="827">
        <v>0</v>
      </c>
      <c r="BV40" s="1278"/>
      <c r="BW40" s="827">
        <v>0</v>
      </c>
      <c r="BX40" s="1278"/>
      <c r="BY40" s="827">
        <v>0</v>
      </c>
      <c r="BZ40" s="1278"/>
      <c r="CA40" s="827">
        <v>0</v>
      </c>
      <c r="CB40" s="1278"/>
      <c r="CC40" s="827">
        <v>0</v>
      </c>
      <c r="CD40" s="1278"/>
      <c r="CE40" s="827">
        <v>0</v>
      </c>
      <c r="CF40" s="1278"/>
      <c r="CG40" s="827">
        <v>0</v>
      </c>
      <c r="CH40" s="1278"/>
      <c r="CI40" s="827">
        <v>0</v>
      </c>
      <c r="CJ40" s="1278"/>
      <c r="CK40" s="827">
        <v>0</v>
      </c>
      <c r="CL40" s="1278"/>
      <c r="CM40" s="827">
        <v>0</v>
      </c>
      <c r="CN40" s="1278"/>
      <c r="CO40" s="827">
        <v>0</v>
      </c>
      <c r="CP40" s="1278"/>
      <c r="CQ40" s="827">
        <v>0</v>
      </c>
      <c r="CR40" s="1278"/>
      <c r="CS40" s="827">
        <v>0</v>
      </c>
      <c r="CT40" s="1278"/>
      <c r="CU40" s="827">
        <v>0</v>
      </c>
      <c r="CV40" s="1278"/>
      <c r="CW40" s="827">
        <v>0</v>
      </c>
      <c r="CX40" s="1278"/>
      <c r="CY40" s="827">
        <v>0</v>
      </c>
      <c r="CZ40" s="1278"/>
      <c r="DA40" s="827">
        <v>0</v>
      </c>
      <c r="DB40" s="1278"/>
      <c r="DC40" s="827">
        <v>0</v>
      </c>
      <c r="DD40" s="1278"/>
      <c r="DE40" s="1297">
        <v>0</v>
      </c>
      <c r="DF40" s="635"/>
      <c r="DG40" s="868"/>
      <c r="DH40" s="629"/>
      <c r="DI40" s="629"/>
      <c r="DJ40" s="630" t="s">
        <v>393</v>
      </c>
      <c r="DK40" s="629"/>
      <c r="DL40" s="629"/>
      <c r="DM40" s="1275"/>
      <c r="DN40" s="1295">
        <v>0</v>
      </c>
      <c r="DO40" s="1296"/>
      <c r="DP40" s="827">
        <v>0</v>
      </c>
      <c r="DQ40" s="1278"/>
      <c r="DR40" s="827">
        <v>0</v>
      </c>
      <c r="DS40" s="1278"/>
      <c r="DT40" s="827">
        <v>0</v>
      </c>
      <c r="DU40" s="1278"/>
      <c r="DV40" s="827">
        <v>0</v>
      </c>
      <c r="DW40" s="1278"/>
      <c r="DX40" s="827">
        <v>0</v>
      </c>
      <c r="DY40" s="1278"/>
      <c r="DZ40" s="827">
        <v>0</v>
      </c>
      <c r="EA40" s="1278"/>
      <c r="EB40" s="827">
        <v>0</v>
      </c>
      <c r="EC40" s="1278"/>
      <c r="ED40" s="827">
        <v>0</v>
      </c>
      <c r="EE40" s="1278"/>
      <c r="EF40" s="827">
        <v>0</v>
      </c>
      <c r="EG40" s="1278"/>
      <c r="EH40" s="827">
        <v>0</v>
      </c>
      <c r="EI40" s="1278"/>
      <c r="EJ40" s="827">
        <v>0</v>
      </c>
      <c r="EK40" s="1278"/>
      <c r="EL40" s="827">
        <v>0</v>
      </c>
      <c r="EM40" s="1278"/>
      <c r="EN40" s="827">
        <v>0</v>
      </c>
      <c r="EO40" s="1278"/>
      <c r="EP40" s="827">
        <v>0</v>
      </c>
      <c r="EQ40" s="1278"/>
      <c r="ER40" s="827">
        <v>0</v>
      </c>
      <c r="ES40" s="1278"/>
      <c r="ET40" s="827">
        <v>0</v>
      </c>
      <c r="EU40" s="1278"/>
      <c r="EV40" s="827">
        <v>0</v>
      </c>
      <c r="EW40" s="1278"/>
      <c r="EX40" s="827">
        <v>0</v>
      </c>
      <c r="EY40" s="1278"/>
      <c r="EZ40" s="827">
        <v>0</v>
      </c>
      <c r="FA40" s="1278"/>
      <c r="FB40" s="827">
        <v>0</v>
      </c>
      <c r="FC40" s="1278"/>
      <c r="FD40" s="827">
        <v>0</v>
      </c>
      <c r="FE40" s="1278"/>
      <c r="FF40" s="827">
        <v>0</v>
      </c>
      <c r="FG40" s="1278"/>
      <c r="FH40" s="1297">
        <v>0</v>
      </c>
      <c r="FI40" s="636"/>
      <c r="FJ40" s="820"/>
      <c r="FK40" s="629"/>
      <c r="FL40" s="629"/>
      <c r="FM40" s="630" t="s">
        <v>393</v>
      </c>
      <c r="FN40" s="629"/>
      <c r="FO40" s="629"/>
      <c r="FP40" s="1267"/>
      <c r="FQ40" s="1296"/>
      <c r="FR40" s="1295">
        <v>0</v>
      </c>
      <c r="FS40" s="1298"/>
      <c r="FT40" s="1296"/>
      <c r="FU40" s="1299">
        <v>0</v>
      </c>
      <c r="FV40" s="580"/>
      <c r="FW40" s="581"/>
      <c r="FX40" s="789"/>
      <c r="FY40" s="583"/>
      <c r="FZ40" s="790"/>
      <c r="GA40" s="585"/>
      <c r="GB40" s="791"/>
      <c r="GC40" s="587"/>
      <c r="GD40" s="791"/>
      <c r="GE40" s="588"/>
      <c r="GF40" s="641"/>
      <c r="GG40" s="642"/>
      <c r="GH40" s="642"/>
      <c r="GI40" s="642"/>
      <c r="GJ40" s="517"/>
      <c r="GK40" s="869"/>
      <c r="GL40" s="870"/>
      <c r="GM40" s="870"/>
      <c r="GN40" s="870"/>
      <c r="GO40" s="870"/>
      <c r="GP40" s="870"/>
      <c r="GQ40" s="870"/>
      <c r="GR40" s="871"/>
      <c r="GS40" s="872"/>
      <c r="GT40" s="672"/>
      <c r="GU40" s="517" t="s">
        <v>657</v>
      </c>
      <c r="GV40" s="517"/>
      <c r="GW40" s="517"/>
      <c r="GX40" s="517"/>
      <c r="GY40" s="517"/>
      <c r="GZ40" s="517"/>
      <c r="HA40" s="873">
        <v>35.4</v>
      </c>
      <c r="HB40" s="404"/>
      <c r="HC40" s="517"/>
      <c r="HD40" s="567"/>
      <c r="HK40" s="406"/>
    </row>
    <row r="41" spans="1:219" ht="20.100000000000001" customHeight="1">
      <c r="A41" s="841" t="s">
        <v>394</v>
      </c>
      <c r="B41" s="721"/>
      <c r="C41" s="874"/>
      <c r="D41" s="874"/>
      <c r="E41" s="874"/>
      <c r="F41" s="875"/>
      <c r="G41" s="723"/>
      <c r="H41" s="650" t="s">
        <v>368</v>
      </c>
      <c r="I41" s="724"/>
      <c r="J41" s="650" t="s">
        <v>368</v>
      </c>
      <c r="K41" s="725"/>
      <c r="L41" s="650" t="s">
        <v>368</v>
      </c>
      <c r="M41" s="725"/>
      <c r="N41" s="650" t="s">
        <v>368</v>
      </c>
      <c r="O41" s="725"/>
      <c r="P41" s="650" t="s">
        <v>368</v>
      </c>
      <c r="Q41" s="725"/>
      <c r="R41" s="650" t="s">
        <v>368</v>
      </c>
      <c r="S41" s="725"/>
      <c r="T41" s="650" t="s">
        <v>368</v>
      </c>
      <c r="U41" s="725"/>
      <c r="V41" s="650" t="s">
        <v>368</v>
      </c>
      <c r="W41" s="725"/>
      <c r="X41" s="650" t="s">
        <v>368</v>
      </c>
      <c r="Y41" s="725" t="s">
        <v>380</v>
      </c>
      <c r="Z41" s="650" t="s">
        <v>368</v>
      </c>
      <c r="AA41" s="725" t="s">
        <v>380</v>
      </c>
      <c r="AB41" s="650" t="s">
        <v>368</v>
      </c>
      <c r="AC41" s="725"/>
      <c r="AD41" s="650" t="s">
        <v>368</v>
      </c>
      <c r="AE41" s="725"/>
      <c r="AF41" s="650" t="s">
        <v>368</v>
      </c>
      <c r="AG41" s="725"/>
      <c r="AH41" s="650" t="s">
        <v>368</v>
      </c>
      <c r="AI41" s="725"/>
      <c r="AJ41" s="650" t="s">
        <v>368</v>
      </c>
      <c r="AK41" s="725"/>
      <c r="AL41" s="650" t="s">
        <v>368</v>
      </c>
      <c r="AM41" s="725"/>
      <c r="AN41" s="650" t="s">
        <v>368</v>
      </c>
      <c r="AO41" s="725"/>
      <c r="AP41" s="650" t="s">
        <v>368</v>
      </c>
      <c r="AQ41" s="725"/>
      <c r="AR41" s="650" t="s">
        <v>368</v>
      </c>
      <c r="AS41" s="725"/>
      <c r="AT41" s="650" t="s">
        <v>368</v>
      </c>
      <c r="AU41" s="725"/>
      <c r="AV41" s="650" t="s">
        <v>368</v>
      </c>
      <c r="AW41" s="725"/>
      <c r="AX41" s="650" t="s">
        <v>368</v>
      </c>
      <c r="AY41" s="725"/>
      <c r="AZ41" s="650" t="s">
        <v>368</v>
      </c>
      <c r="BA41" s="725"/>
      <c r="BB41" s="652" t="s">
        <v>368</v>
      </c>
      <c r="BC41" s="706"/>
      <c r="BD41" s="841" t="s">
        <v>394</v>
      </c>
      <c r="BE41" s="721"/>
      <c r="BF41" s="874"/>
      <c r="BG41" s="874"/>
      <c r="BH41" s="874"/>
      <c r="BI41" s="875"/>
      <c r="BJ41" s="723"/>
      <c r="BK41" s="650" t="s">
        <v>368</v>
      </c>
      <c r="BL41" s="724"/>
      <c r="BM41" s="650" t="s">
        <v>368</v>
      </c>
      <c r="BN41" s="725"/>
      <c r="BO41" s="650" t="s">
        <v>368</v>
      </c>
      <c r="BP41" s="725"/>
      <c r="BQ41" s="650" t="s">
        <v>368</v>
      </c>
      <c r="BR41" s="725"/>
      <c r="BS41" s="650" t="s">
        <v>368</v>
      </c>
      <c r="BT41" s="725"/>
      <c r="BU41" s="650" t="s">
        <v>368</v>
      </c>
      <c r="BV41" s="725"/>
      <c r="BW41" s="650" t="s">
        <v>368</v>
      </c>
      <c r="BX41" s="725"/>
      <c r="BY41" s="650" t="s">
        <v>368</v>
      </c>
      <c r="BZ41" s="725"/>
      <c r="CA41" s="650" t="s">
        <v>368</v>
      </c>
      <c r="CB41" s="725" t="s">
        <v>380</v>
      </c>
      <c r="CC41" s="650" t="s">
        <v>368</v>
      </c>
      <c r="CD41" s="725" t="s">
        <v>380</v>
      </c>
      <c r="CE41" s="650" t="s">
        <v>368</v>
      </c>
      <c r="CF41" s="725"/>
      <c r="CG41" s="650" t="s">
        <v>368</v>
      </c>
      <c r="CH41" s="725"/>
      <c r="CI41" s="650" t="s">
        <v>368</v>
      </c>
      <c r="CJ41" s="725"/>
      <c r="CK41" s="650" t="s">
        <v>368</v>
      </c>
      <c r="CL41" s="725"/>
      <c r="CM41" s="650" t="s">
        <v>368</v>
      </c>
      <c r="CN41" s="725"/>
      <c r="CO41" s="650" t="s">
        <v>368</v>
      </c>
      <c r="CP41" s="725"/>
      <c r="CQ41" s="650" t="s">
        <v>368</v>
      </c>
      <c r="CR41" s="725"/>
      <c r="CS41" s="650" t="s">
        <v>368</v>
      </c>
      <c r="CT41" s="725"/>
      <c r="CU41" s="650" t="s">
        <v>368</v>
      </c>
      <c r="CV41" s="725"/>
      <c r="CW41" s="650" t="s">
        <v>368</v>
      </c>
      <c r="CX41" s="725"/>
      <c r="CY41" s="650" t="s">
        <v>368</v>
      </c>
      <c r="CZ41" s="725"/>
      <c r="DA41" s="650" t="s">
        <v>368</v>
      </c>
      <c r="DB41" s="725"/>
      <c r="DC41" s="650" t="s">
        <v>368</v>
      </c>
      <c r="DD41" s="725"/>
      <c r="DE41" s="652" t="s">
        <v>368</v>
      </c>
      <c r="DF41" s="706"/>
      <c r="DG41" s="841" t="s">
        <v>394</v>
      </c>
      <c r="DH41" s="721"/>
      <c r="DI41" s="874"/>
      <c r="DJ41" s="874"/>
      <c r="DK41" s="874"/>
      <c r="DL41" s="875"/>
      <c r="DM41" s="723"/>
      <c r="DN41" s="650" t="s">
        <v>368</v>
      </c>
      <c r="DO41" s="724"/>
      <c r="DP41" s="650" t="s">
        <v>368</v>
      </c>
      <c r="DQ41" s="725"/>
      <c r="DR41" s="650" t="s">
        <v>368</v>
      </c>
      <c r="DS41" s="725"/>
      <c r="DT41" s="650" t="s">
        <v>368</v>
      </c>
      <c r="DU41" s="725"/>
      <c r="DV41" s="650" t="s">
        <v>368</v>
      </c>
      <c r="DW41" s="725"/>
      <c r="DX41" s="650" t="s">
        <v>368</v>
      </c>
      <c r="DY41" s="725"/>
      <c r="DZ41" s="650" t="s">
        <v>368</v>
      </c>
      <c r="EA41" s="725"/>
      <c r="EB41" s="650" t="s">
        <v>368</v>
      </c>
      <c r="EC41" s="725"/>
      <c r="ED41" s="650" t="s">
        <v>368</v>
      </c>
      <c r="EE41" s="725" t="s">
        <v>380</v>
      </c>
      <c r="EF41" s="650" t="s">
        <v>368</v>
      </c>
      <c r="EG41" s="725" t="s">
        <v>380</v>
      </c>
      <c r="EH41" s="650" t="s">
        <v>368</v>
      </c>
      <c r="EI41" s="725"/>
      <c r="EJ41" s="650" t="s">
        <v>368</v>
      </c>
      <c r="EK41" s="725"/>
      <c r="EL41" s="650" t="s">
        <v>368</v>
      </c>
      <c r="EM41" s="725"/>
      <c r="EN41" s="650" t="s">
        <v>368</v>
      </c>
      <c r="EO41" s="725"/>
      <c r="EP41" s="650" t="s">
        <v>368</v>
      </c>
      <c r="EQ41" s="725"/>
      <c r="ER41" s="650" t="s">
        <v>368</v>
      </c>
      <c r="ES41" s="725"/>
      <c r="ET41" s="650" t="s">
        <v>368</v>
      </c>
      <c r="EU41" s="725"/>
      <c r="EV41" s="650" t="s">
        <v>368</v>
      </c>
      <c r="EW41" s="725"/>
      <c r="EX41" s="650" t="s">
        <v>368</v>
      </c>
      <c r="EY41" s="725"/>
      <c r="EZ41" s="650" t="s">
        <v>368</v>
      </c>
      <c r="FA41" s="725"/>
      <c r="FB41" s="650" t="s">
        <v>368</v>
      </c>
      <c r="FC41" s="725"/>
      <c r="FD41" s="650" t="s">
        <v>368</v>
      </c>
      <c r="FE41" s="725"/>
      <c r="FF41" s="650" t="s">
        <v>368</v>
      </c>
      <c r="FG41" s="725"/>
      <c r="FH41" s="652" t="s">
        <v>368</v>
      </c>
      <c r="FI41" s="729"/>
      <c r="FJ41" s="806" t="s">
        <v>394</v>
      </c>
      <c r="FK41" s="726"/>
      <c r="FL41" s="876"/>
      <c r="FM41" s="876"/>
      <c r="FN41" s="876"/>
      <c r="FO41" s="877"/>
      <c r="FP41" s="730"/>
      <c r="FQ41" s="656"/>
      <c r="FR41" s="650" t="s">
        <v>371</v>
      </c>
      <c r="FS41" s="731"/>
      <c r="FT41" s="656"/>
      <c r="FU41" s="658" t="s">
        <v>371</v>
      </c>
      <c r="FV41" s="580"/>
      <c r="FW41" s="581"/>
      <c r="FX41" s="789"/>
      <c r="FY41" s="583"/>
      <c r="FZ41" s="790"/>
      <c r="GA41" s="585"/>
      <c r="GB41" s="791"/>
      <c r="GC41" s="587"/>
      <c r="GD41" s="791"/>
      <c r="GE41" s="588"/>
      <c r="GF41" s="732"/>
      <c r="GG41" s="733"/>
      <c r="GH41" s="733"/>
      <c r="GI41" s="733"/>
      <c r="GJ41" s="567"/>
      <c r="GK41" s="878" t="s">
        <v>467</v>
      </c>
      <c r="GL41" s="879"/>
      <c r="GM41" s="880" t="s">
        <v>468</v>
      </c>
      <c r="GN41" s="880"/>
      <c r="GO41" s="880" t="s">
        <v>469</v>
      </c>
      <c r="GP41" s="880"/>
      <c r="GQ41" s="880"/>
      <c r="GR41" s="881"/>
      <c r="GS41" s="840"/>
      <c r="GT41" s="672"/>
      <c r="GU41" s="517" t="s">
        <v>710</v>
      </c>
      <c r="GV41" s="517"/>
      <c r="GW41" s="517"/>
      <c r="GX41" s="517"/>
      <c r="GY41" s="517"/>
      <c r="GZ41" s="517"/>
      <c r="HA41" s="873">
        <v>29.1</v>
      </c>
      <c r="HB41" s="404"/>
      <c r="HC41" s="517"/>
      <c r="HD41" s="400"/>
    </row>
    <row r="42" spans="1:219" ht="20.100000000000001" customHeight="1">
      <c r="A42" s="811"/>
      <c r="B42" s="882" t="s">
        <v>395</v>
      </c>
      <c r="C42" s="883"/>
      <c r="D42" s="883"/>
      <c r="E42" s="884"/>
      <c r="F42" s="885"/>
      <c r="G42" s="815"/>
      <c r="H42" s="816"/>
      <c r="I42" s="817"/>
      <c r="J42" s="782"/>
      <c r="K42" s="818"/>
      <c r="L42" s="782"/>
      <c r="M42" s="818"/>
      <c r="N42" s="782"/>
      <c r="O42" s="818"/>
      <c r="P42" s="782"/>
      <c r="Q42" s="818"/>
      <c r="R42" s="782"/>
      <c r="S42" s="818"/>
      <c r="T42" s="782"/>
      <c r="U42" s="818"/>
      <c r="V42" s="782"/>
      <c r="W42" s="818"/>
      <c r="X42" s="782">
        <v>261</v>
      </c>
      <c r="Y42" s="818"/>
      <c r="Z42" s="782">
        <v>157</v>
      </c>
      <c r="AA42" s="818"/>
      <c r="AB42" s="782">
        <v>146</v>
      </c>
      <c r="AC42" s="818"/>
      <c r="AD42" s="782">
        <v>134</v>
      </c>
      <c r="AE42" s="818"/>
      <c r="AF42" s="782">
        <v>123</v>
      </c>
      <c r="AG42" s="818"/>
      <c r="AH42" s="782">
        <v>112</v>
      </c>
      <c r="AI42" s="818"/>
      <c r="AJ42" s="782">
        <v>105</v>
      </c>
      <c r="AK42" s="818"/>
      <c r="AL42" s="782">
        <v>97</v>
      </c>
      <c r="AM42" s="818"/>
      <c r="AN42" s="782">
        <v>86</v>
      </c>
      <c r="AO42" s="818"/>
      <c r="AP42" s="782">
        <v>82</v>
      </c>
      <c r="AQ42" s="818"/>
      <c r="AR42" s="782"/>
      <c r="AS42" s="818"/>
      <c r="AT42" s="782"/>
      <c r="AU42" s="818"/>
      <c r="AV42" s="782"/>
      <c r="AW42" s="818"/>
      <c r="AX42" s="782"/>
      <c r="AY42" s="818"/>
      <c r="AZ42" s="782"/>
      <c r="BA42" s="818"/>
      <c r="BB42" s="819"/>
      <c r="BC42" s="549"/>
      <c r="BD42" s="811"/>
      <c r="BE42" s="886" t="s">
        <v>395</v>
      </c>
      <c r="BF42" s="883"/>
      <c r="BG42" s="883"/>
      <c r="BH42" s="884"/>
      <c r="BI42" s="885"/>
      <c r="BJ42" s="815"/>
      <c r="BK42" s="816"/>
      <c r="BL42" s="817"/>
      <c r="BM42" s="782"/>
      <c r="BN42" s="818"/>
      <c r="BO42" s="782"/>
      <c r="BP42" s="818"/>
      <c r="BQ42" s="782"/>
      <c r="BR42" s="818"/>
      <c r="BS42" s="782"/>
      <c r="BT42" s="818"/>
      <c r="BU42" s="782"/>
      <c r="BV42" s="818"/>
      <c r="BW42" s="782"/>
      <c r="BX42" s="818"/>
      <c r="BY42" s="782"/>
      <c r="BZ42" s="818"/>
      <c r="CA42" s="782">
        <v>261</v>
      </c>
      <c r="CB42" s="818"/>
      <c r="CC42" s="782">
        <v>157</v>
      </c>
      <c r="CD42" s="818"/>
      <c r="CE42" s="782">
        <v>146</v>
      </c>
      <c r="CF42" s="818"/>
      <c r="CG42" s="782">
        <v>134</v>
      </c>
      <c r="CH42" s="818"/>
      <c r="CI42" s="782">
        <v>123</v>
      </c>
      <c r="CJ42" s="818"/>
      <c r="CK42" s="782">
        <v>112</v>
      </c>
      <c r="CL42" s="818"/>
      <c r="CM42" s="782">
        <v>105</v>
      </c>
      <c r="CN42" s="818"/>
      <c r="CO42" s="782">
        <v>97</v>
      </c>
      <c r="CP42" s="818"/>
      <c r="CQ42" s="782">
        <v>86</v>
      </c>
      <c r="CR42" s="818"/>
      <c r="CS42" s="782">
        <v>82</v>
      </c>
      <c r="CT42" s="818"/>
      <c r="CU42" s="782"/>
      <c r="CV42" s="818"/>
      <c r="CW42" s="782"/>
      <c r="CX42" s="818"/>
      <c r="CY42" s="782"/>
      <c r="CZ42" s="818"/>
      <c r="DA42" s="782"/>
      <c r="DB42" s="818"/>
      <c r="DC42" s="782"/>
      <c r="DD42" s="818"/>
      <c r="DE42" s="819"/>
      <c r="DF42" s="549"/>
      <c r="DG42" s="811"/>
      <c r="DH42" s="886" t="s">
        <v>395</v>
      </c>
      <c r="DI42" s="883"/>
      <c r="DJ42" s="883"/>
      <c r="DK42" s="884"/>
      <c r="DL42" s="885"/>
      <c r="DM42" s="815"/>
      <c r="DN42" s="816"/>
      <c r="DO42" s="817"/>
      <c r="DP42" s="782"/>
      <c r="DQ42" s="818"/>
      <c r="DR42" s="782"/>
      <c r="DS42" s="818"/>
      <c r="DT42" s="782"/>
      <c r="DU42" s="818"/>
      <c r="DV42" s="782"/>
      <c r="DW42" s="818"/>
      <c r="DX42" s="782"/>
      <c r="DY42" s="818"/>
      <c r="DZ42" s="782"/>
      <c r="EA42" s="818"/>
      <c r="EB42" s="782"/>
      <c r="EC42" s="818"/>
      <c r="ED42" s="782">
        <v>261</v>
      </c>
      <c r="EE42" s="818"/>
      <c r="EF42" s="782">
        <v>157</v>
      </c>
      <c r="EG42" s="818"/>
      <c r="EH42" s="782">
        <v>146</v>
      </c>
      <c r="EI42" s="818"/>
      <c r="EJ42" s="782">
        <v>134</v>
      </c>
      <c r="EK42" s="818"/>
      <c r="EL42" s="782">
        <v>123</v>
      </c>
      <c r="EM42" s="818"/>
      <c r="EN42" s="782">
        <v>112</v>
      </c>
      <c r="EO42" s="818"/>
      <c r="EP42" s="782">
        <v>105</v>
      </c>
      <c r="EQ42" s="818"/>
      <c r="ER42" s="782">
        <v>97</v>
      </c>
      <c r="ES42" s="818"/>
      <c r="ET42" s="782">
        <v>86</v>
      </c>
      <c r="EU42" s="818"/>
      <c r="EV42" s="782">
        <v>82</v>
      </c>
      <c r="EW42" s="818"/>
      <c r="EX42" s="782"/>
      <c r="EY42" s="818"/>
      <c r="EZ42" s="782"/>
      <c r="FA42" s="818"/>
      <c r="FB42" s="782"/>
      <c r="FC42" s="818"/>
      <c r="FD42" s="782"/>
      <c r="FE42" s="818"/>
      <c r="FF42" s="782"/>
      <c r="FG42" s="818"/>
      <c r="FH42" s="819"/>
      <c r="FI42" s="550"/>
      <c r="FJ42" s="820"/>
      <c r="FK42" s="886" t="s">
        <v>395</v>
      </c>
      <c r="FL42" s="883"/>
      <c r="FM42" s="883"/>
      <c r="FN42" s="884"/>
      <c r="FO42" s="885"/>
      <c r="FP42" s="821"/>
      <c r="FQ42" s="817"/>
      <c r="FR42" s="816">
        <v>377</v>
      </c>
      <c r="FS42" s="822"/>
      <c r="FT42" s="817"/>
      <c r="FU42" s="788">
        <v>377</v>
      </c>
      <c r="FV42" s="580"/>
      <c r="FW42" s="581"/>
      <c r="FX42" s="789"/>
      <c r="FY42" s="583"/>
      <c r="FZ42" s="790"/>
      <c r="GA42" s="585"/>
      <c r="GB42" s="791"/>
      <c r="GC42" s="587"/>
      <c r="GD42" s="791"/>
      <c r="GE42" s="588"/>
      <c r="GF42" s="823"/>
      <c r="GG42" s="589"/>
      <c r="GH42" s="589"/>
      <c r="GI42" s="589"/>
      <c r="GJ42" s="400"/>
      <c r="GK42" s="887"/>
      <c r="GL42" s="888"/>
      <c r="GM42" s="889">
        <v>7</v>
      </c>
      <c r="GN42" s="889"/>
      <c r="GO42" s="889">
        <v>0</v>
      </c>
      <c r="GP42" s="889"/>
      <c r="GQ42" s="889">
        <v>7</v>
      </c>
      <c r="GR42" s="890"/>
      <c r="GS42" s="567"/>
      <c r="GT42" s="487"/>
      <c r="GU42" s="487"/>
      <c r="GV42" s="487"/>
      <c r="GW42" s="566"/>
      <c r="GX42" s="566"/>
      <c r="GY42" s="566"/>
      <c r="GZ42" s="565"/>
      <c r="HA42" s="487"/>
      <c r="HB42" s="487"/>
      <c r="HC42" s="517"/>
      <c r="HD42" s="517"/>
    </row>
    <row r="43" spans="1:219" ht="20.100000000000001" customHeight="1">
      <c r="A43" s="811"/>
      <c r="B43" s="891" t="s">
        <v>396</v>
      </c>
      <c r="C43" s="892"/>
      <c r="D43" s="892"/>
      <c r="E43" s="892"/>
      <c r="F43" s="893"/>
      <c r="G43" s="677"/>
      <c r="H43" s="894">
        <v>0</v>
      </c>
      <c r="I43" s="678"/>
      <c r="J43" s="894">
        <v>0</v>
      </c>
      <c r="K43" s="678"/>
      <c r="L43" s="894">
        <v>0</v>
      </c>
      <c r="M43" s="678"/>
      <c r="N43" s="894">
        <v>0</v>
      </c>
      <c r="O43" s="678"/>
      <c r="P43" s="894">
        <v>0</v>
      </c>
      <c r="Q43" s="678"/>
      <c r="R43" s="894">
        <v>0</v>
      </c>
      <c r="S43" s="678"/>
      <c r="T43" s="894">
        <v>0</v>
      </c>
      <c r="U43" s="678"/>
      <c r="V43" s="894">
        <v>0</v>
      </c>
      <c r="W43" s="895"/>
      <c r="X43" s="894">
        <v>0</v>
      </c>
      <c r="Y43" s="678"/>
      <c r="Z43" s="894">
        <v>0</v>
      </c>
      <c r="AA43" s="678"/>
      <c r="AB43" s="894">
        <v>0</v>
      </c>
      <c r="AC43" s="678"/>
      <c r="AD43" s="894">
        <v>0</v>
      </c>
      <c r="AE43" s="678"/>
      <c r="AF43" s="894">
        <v>0</v>
      </c>
      <c r="AG43" s="678"/>
      <c r="AH43" s="894">
        <v>0</v>
      </c>
      <c r="AI43" s="678"/>
      <c r="AJ43" s="894">
        <v>0</v>
      </c>
      <c r="AK43" s="678"/>
      <c r="AL43" s="894">
        <v>0</v>
      </c>
      <c r="AM43" s="678"/>
      <c r="AN43" s="894">
        <v>0</v>
      </c>
      <c r="AO43" s="678"/>
      <c r="AP43" s="894">
        <v>0</v>
      </c>
      <c r="AQ43" s="678"/>
      <c r="AR43" s="894">
        <v>0</v>
      </c>
      <c r="AS43" s="678"/>
      <c r="AT43" s="894">
        <v>0</v>
      </c>
      <c r="AU43" s="678"/>
      <c r="AV43" s="894">
        <v>0</v>
      </c>
      <c r="AW43" s="678"/>
      <c r="AX43" s="894">
        <v>0</v>
      </c>
      <c r="AY43" s="678"/>
      <c r="AZ43" s="894">
        <v>0</v>
      </c>
      <c r="BA43" s="678"/>
      <c r="BB43" s="861">
        <v>0</v>
      </c>
      <c r="BC43" s="549"/>
      <c r="BD43" s="811"/>
      <c r="BE43" s="896" t="s">
        <v>396</v>
      </c>
      <c r="BF43" s="892"/>
      <c r="BG43" s="892"/>
      <c r="BH43" s="892"/>
      <c r="BI43" s="893"/>
      <c r="BJ43" s="677"/>
      <c r="BK43" s="894">
        <v>0</v>
      </c>
      <c r="BL43" s="678"/>
      <c r="BM43" s="894">
        <v>0</v>
      </c>
      <c r="BN43" s="678"/>
      <c r="BO43" s="894">
        <v>0</v>
      </c>
      <c r="BP43" s="678"/>
      <c r="BQ43" s="894">
        <v>0</v>
      </c>
      <c r="BR43" s="678"/>
      <c r="BS43" s="894">
        <v>0</v>
      </c>
      <c r="BT43" s="678"/>
      <c r="BU43" s="894">
        <v>0</v>
      </c>
      <c r="BV43" s="678"/>
      <c r="BW43" s="894">
        <v>0</v>
      </c>
      <c r="BX43" s="678"/>
      <c r="BY43" s="894">
        <v>0</v>
      </c>
      <c r="BZ43" s="895"/>
      <c r="CA43" s="894">
        <v>0</v>
      </c>
      <c r="CB43" s="678"/>
      <c r="CC43" s="894">
        <v>0</v>
      </c>
      <c r="CD43" s="678"/>
      <c r="CE43" s="894">
        <v>0</v>
      </c>
      <c r="CF43" s="678"/>
      <c r="CG43" s="894">
        <v>0</v>
      </c>
      <c r="CH43" s="678"/>
      <c r="CI43" s="894">
        <v>0</v>
      </c>
      <c r="CJ43" s="678"/>
      <c r="CK43" s="894">
        <v>0</v>
      </c>
      <c r="CL43" s="678"/>
      <c r="CM43" s="894">
        <v>0</v>
      </c>
      <c r="CN43" s="678"/>
      <c r="CO43" s="894">
        <v>0</v>
      </c>
      <c r="CP43" s="678"/>
      <c r="CQ43" s="894">
        <v>0</v>
      </c>
      <c r="CR43" s="678"/>
      <c r="CS43" s="894">
        <v>0</v>
      </c>
      <c r="CT43" s="678"/>
      <c r="CU43" s="894">
        <v>0</v>
      </c>
      <c r="CV43" s="678"/>
      <c r="CW43" s="894">
        <v>0</v>
      </c>
      <c r="CX43" s="678"/>
      <c r="CY43" s="894">
        <v>0</v>
      </c>
      <c r="CZ43" s="678"/>
      <c r="DA43" s="894">
        <v>0</v>
      </c>
      <c r="DB43" s="678"/>
      <c r="DC43" s="894">
        <v>0</v>
      </c>
      <c r="DD43" s="678"/>
      <c r="DE43" s="861">
        <v>0</v>
      </c>
      <c r="DF43" s="549"/>
      <c r="DG43" s="811"/>
      <c r="DH43" s="896" t="s">
        <v>396</v>
      </c>
      <c r="DI43" s="892"/>
      <c r="DJ43" s="892"/>
      <c r="DK43" s="892"/>
      <c r="DL43" s="893"/>
      <c r="DM43" s="677"/>
      <c r="DN43" s="894">
        <v>0</v>
      </c>
      <c r="DO43" s="678"/>
      <c r="DP43" s="894">
        <v>0</v>
      </c>
      <c r="DQ43" s="678"/>
      <c r="DR43" s="894">
        <v>0</v>
      </c>
      <c r="DS43" s="678"/>
      <c r="DT43" s="894">
        <v>0</v>
      </c>
      <c r="DU43" s="678"/>
      <c r="DV43" s="894">
        <v>0</v>
      </c>
      <c r="DW43" s="678"/>
      <c r="DX43" s="894">
        <v>0</v>
      </c>
      <c r="DY43" s="678"/>
      <c r="DZ43" s="894">
        <v>0</v>
      </c>
      <c r="EA43" s="678"/>
      <c r="EB43" s="894">
        <v>0</v>
      </c>
      <c r="EC43" s="895"/>
      <c r="ED43" s="894">
        <v>0</v>
      </c>
      <c r="EE43" s="678"/>
      <c r="EF43" s="894">
        <v>0</v>
      </c>
      <c r="EG43" s="678"/>
      <c r="EH43" s="894">
        <v>0</v>
      </c>
      <c r="EI43" s="678"/>
      <c r="EJ43" s="894">
        <v>0</v>
      </c>
      <c r="EK43" s="678"/>
      <c r="EL43" s="894">
        <v>0</v>
      </c>
      <c r="EM43" s="678"/>
      <c r="EN43" s="894">
        <v>0</v>
      </c>
      <c r="EO43" s="678"/>
      <c r="EP43" s="894">
        <v>0</v>
      </c>
      <c r="EQ43" s="678"/>
      <c r="ER43" s="894">
        <v>0</v>
      </c>
      <c r="ES43" s="678"/>
      <c r="ET43" s="894">
        <v>0</v>
      </c>
      <c r="EU43" s="678"/>
      <c r="EV43" s="894">
        <v>0</v>
      </c>
      <c r="EW43" s="678"/>
      <c r="EX43" s="894">
        <v>0</v>
      </c>
      <c r="EY43" s="678"/>
      <c r="EZ43" s="894">
        <v>0</v>
      </c>
      <c r="FA43" s="678"/>
      <c r="FB43" s="894">
        <v>0</v>
      </c>
      <c r="FC43" s="678"/>
      <c r="FD43" s="894">
        <v>0</v>
      </c>
      <c r="FE43" s="678"/>
      <c r="FF43" s="894">
        <v>0</v>
      </c>
      <c r="FG43" s="678"/>
      <c r="FH43" s="861">
        <v>0</v>
      </c>
      <c r="FI43" s="550"/>
      <c r="FJ43" s="820"/>
      <c r="FK43" s="896" t="s">
        <v>396</v>
      </c>
      <c r="FL43" s="892"/>
      <c r="FM43" s="892"/>
      <c r="FN43" s="892"/>
      <c r="FO43" s="893"/>
      <c r="FP43" s="679"/>
      <c r="FQ43" s="680"/>
      <c r="FR43" s="574">
        <v>0</v>
      </c>
      <c r="FS43" s="681"/>
      <c r="FT43" s="680"/>
      <c r="FU43" s="579">
        <v>0</v>
      </c>
      <c r="FV43" s="897"/>
      <c r="FW43" s="898"/>
      <c r="FX43" s="899"/>
      <c r="FY43" s="900"/>
      <c r="FZ43" s="901"/>
      <c r="GA43" s="902"/>
      <c r="GB43" s="903"/>
      <c r="GC43" s="904"/>
      <c r="GD43" s="903"/>
      <c r="GE43" s="905"/>
      <c r="GF43" s="671"/>
      <c r="GG43" s="589"/>
      <c r="GH43" s="589"/>
      <c r="GI43" s="589"/>
      <c r="GJ43" s="906"/>
      <c r="GK43" s="907" t="s">
        <v>470</v>
      </c>
      <c r="GL43" s="908"/>
      <c r="GM43" s="909" t="s">
        <v>471</v>
      </c>
      <c r="GN43" s="909"/>
      <c r="GO43" s="909" t="s">
        <v>469</v>
      </c>
      <c r="GP43" s="909"/>
      <c r="GQ43" s="909"/>
      <c r="GR43" s="910"/>
      <c r="GS43" s="567"/>
      <c r="GT43" s="596"/>
      <c r="GU43" s="517" t="s">
        <v>442</v>
      </c>
      <c r="GV43" s="404"/>
      <c r="GW43" s="400"/>
      <c r="GX43" s="404"/>
      <c r="GY43" s="404"/>
      <c r="GZ43" s="404"/>
      <c r="HA43" s="400"/>
      <c r="HB43" s="404"/>
      <c r="HC43" s="911"/>
      <c r="HD43" s="406"/>
    </row>
    <row r="44" spans="1:219" ht="20.100000000000001" customHeight="1" thickBot="1">
      <c r="A44" s="912"/>
      <c r="B44" s="629"/>
      <c r="C44" s="629"/>
      <c r="D44" s="630" t="s">
        <v>397</v>
      </c>
      <c r="E44" s="629"/>
      <c r="F44" s="629"/>
      <c r="G44" s="1275"/>
      <c r="H44" s="1295">
        <v>0</v>
      </c>
      <c r="I44" s="1296"/>
      <c r="J44" s="827">
        <v>0</v>
      </c>
      <c r="K44" s="1278"/>
      <c r="L44" s="827">
        <v>0</v>
      </c>
      <c r="M44" s="1278"/>
      <c r="N44" s="827">
        <v>0</v>
      </c>
      <c r="O44" s="1278"/>
      <c r="P44" s="827">
        <v>0</v>
      </c>
      <c r="Q44" s="1278"/>
      <c r="R44" s="827">
        <v>0</v>
      </c>
      <c r="S44" s="1278"/>
      <c r="T44" s="827">
        <v>0</v>
      </c>
      <c r="U44" s="1278"/>
      <c r="V44" s="827">
        <v>0</v>
      </c>
      <c r="W44" s="1278"/>
      <c r="X44" s="827">
        <v>261</v>
      </c>
      <c r="Y44" s="1278"/>
      <c r="Z44" s="827">
        <v>157</v>
      </c>
      <c r="AA44" s="1278"/>
      <c r="AB44" s="827">
        <v>146</v>
      </c>
      <c r="AC44" s="1278"/>
      <c r="AD44" s="827">
        <v>134</v>
      </c>
      <c r="AE44" s="1278"/>
      <c r="AF44" s="827">
        <v>123</v>
      </c>
      <c r="AG44" s="1278"/>
      <c r="AH44" s="827">
        <v>112</v>
      </c>
      <c r="AI44" s="1278"/>
      <c r="AJ44" s="827">
        <v>105</v>
      </c>
      <c r="AK44" s="1278"/>
      <c r="AL44" s="827">
        <v>97</v>
      </c>
      <c r="AM44" s="1278"/>
      <c r="AN44" s="827">
        <v>86</v>
      </c>
      <c r="AO44" s="1278"/>
      <c r="AP44" s="827">
        <v>82</v>
      </c>
      <c r="AQ44" s="1278"/>
      <c r="AR44" s="827">
        <v>0</v>
      </c>
      <c r="AS44" s="1278"/>
      <c r="AT44" s="827">
        <v>0</v>
      </c>
      <c r="AU44" s="1278"/>
      <c r="AV44" s="827">
        <v>0</v>
      </c>
      <c r="AW44" s="1278"/>
      <c r="AX44" s="827">
        <v>0</v>
      </c>
      <c r="AY44" s="1278"/>
      <c r="AZ44" s="827">
        <v>0</v>
      </c>
      <c r="BA44" s="1278"/>
      <c r="BB44" s="1297">
        <v>0</v>
      </c>
      <c r="BC44" s="635"/>
      <c r="BD44" s="912"/>
      <c r="BE44" s="629"/>
      <c r="BF44" s="629"/>
      <c r="BG44" s="630" t="s">
        <v>397</v>
      </c>
      <c r="BH44" s="629"/>
      <c r="BI44" s="629"/>
      <c r="BJ44" s="1275"/>
      <c r="BK44" s="1295">
        <v>0</v>
      </c>
      <c r="BL44" s="1296"/>
      <c r="BM44" s="827">
        <v>0</v>
      </c>
      <c r="BN44" s="1278"/>
      <c r="BO44" s="827">
        <v>0</v>
      </c>
      <c r="BP44" s="1278"/>
      <c r="BQ44" s="827">
        <v>0</v>
      </c>
      <c r="BR44" s="1278"/>
      <c r="BS44" s="827">
        <v>0</v>
      </c>
      <c r="BT44" s="1278"/>
      <c r="BU44" s="827">
        <v>0</v>
      </c>
      <c r="BV44" s="1278"/>
      <c r="BW44" s="827">
        <v>0</v>
      </c>
      <c r="BX44" s="1278"/>
      <c r="BY44" s="827">
        <v>0</v>
      </c>
      <c r="BZ44" s="1278"/>
      <c r="CA44" s="827">
        <v>261</v>
      </c>
      <c r="CB44" s="1278"/>
      <c r="CC44" s="827">
        <v>157</v>
      </c>
      <c r="CD44" s="1278"/>
      <c r="CE44" s="827">
        <v>146</v>
      </c>
      <c r="CF44" s="1278"/>
      <c r="CG44" s="827">
        <v>134</v>
      </c>
      <c r="CH44" s="1278"/>
      <c r="CI44" s="827">
        <v>123</v>
      </c>
      <c r="CJ44" s="1278"/>
      <c r="CK44" s="827">
        <v>112</v>
      </c>
      <c r="CL44" s="1278"/>
      <c r="CM44" s="827">
        <v>105</v>
      </c>
      <c r="CN44" s="1278"/>
      <c r="CO44" s="827">
        <v>97</v>
      </c>
      <c r="CP44" s="1278"/>
      <c r="CQ44" s="827">
        <v>86</v>
      </c>
      <c r="CR44" s="1278"/>
      <c r="CS44" s="827">
        <v>82</v>
      </c>
      <c r="CT44" s="1278"/>
      <c r="CU44" s="827">
        <v>0</v>
      </c>
      <c r="CV44" s="1278"/>
      <c r="CW44" s="827">
        <v>0</v>
      </c>
      <c r="CX44" s="1278"/>
      <c r="CY44" s="827">
        <v>0</v>
      </c>
      <c r="CZ44" s="1278"/>
      <c r="DA44" s="827">
        <v>0</v>
      </c>
      <c r="DB44" s="1278"/>
      <c r="DC44" s="827">
        <v>0</v>
      </c>
      <c r="DD44" s="1278"/>
      <c r="DE44" s="1297">
        <v>0</v>
      </c>
      <c r="DF44" s="635"/>
      <c r="DG44" s="912"/>
      <c r="DH44" s="629"/>
      <c r="DI44" s="629"/>
      <c r="DJ44" s="630" t="s">
        <v>397</v>
      </c>
      <c r="DK44" s="629"/>
      <c r="DL44" s="629"/>
      <c r="DM44" s="1275"/>
      <c r="DN44" s="1295">
        <v>0</v>
      </c>
      <c r="DO44" s="1296"/>
      <c r="DP44" s="827">
        <v>0</v>
      </c>
      <c r="DQ44" s="1278"/>
      <c r="DR44" s="827">
        <v>0</v>
      </c>
      <c r="DS44" s="1278"/>
      <c r="DT44" s="827">
        <v>0</v>
      </c>
      <c r="DU44" s="1278"/>
      <c r="DV44" s="827">
        <v>0</v>
      </c>
      <c r="DW44" s="1278"/>
      <c r="DX44" s="827">
        <v>0</v>
      </c>
      <c r="DY44" s="1278"/>
      <c r="DZ44" s="827">
        <v>0</v>
      </c>
      <c r="EA44" s="1278"/>
      <c r="EB44" s="827">
        <v>0</v>
      </c>
      <c r="EC44" s="1278"/>
      <c r="ED44" s="827">
        <v>261</v>
      </c>
      <c r="EE44" s="1278"/>
      <c r="EF44" s="827">
        <v>157</v>
      </c>
      <c r="EG44" s="1278"/>
      <c r="EH44" s="827">
        <v>146</v>
      </c>
      <c r="EI44" s="1278"/>
      <c r="EJ44" s="827">
        <v>134</v>
      </c>
      <c r="EK44" s="1278"/>
      <c r="EL44" s="827">
        <v>123</v>
      </c>
      <c r="EM44" s="1278"/>
      <c r="EN44" s="827">
        <v>112</v>
      </c>
      <c r="EO44" s="1278"/>
      <c r="EP44" s="827">
        <v>105</v>
      </c>
      <c r="EQ44" s="1278"/>
      <c r="ER44" s="827">
        <v>97</v>
      </c>
      <c r="ES44" s="1278"/>
      <c r="ET44" s="827">
        <v>86</v>
      </c>
      <c r="EU44" s="1278"/>
      <c r="EV44" s="827">
        <v>82</v>
      </c>
      <c r="EW44" s="1278"/>
      <c r="EX44" s="827">
        <v>0</v>
      </c>
      <c r="EY44" s="1278"/>
      <c r="EZ44" s="827">
        <v>0</v>
      </c>
      <c r="FA44" s="1278"/>
      <c r="FB44" s="827">
        <v>0</v>
      </c>
      <c r="FC44" s="1278"/>
      <c r="FD44" s="827">
        <v>0</v>
      </c>
      <c r="FE44" s="1278"/>
      <c r="FF44" s="827">
        <v>0</v>
      </c>
      <c r="FG44" s="1278"/>
      <c r="FH44" s="1297">
        <v>0</v>
      </c>
      <c r="FI44" s="636"/>
      <c r="FJ44" s="913"/>
      <c r="FK44" s="629"/>
      <c r="FL44" s="629"/>
      <c r="FM44" s="630" t="s">
        <v>397</v>
      </c>
      <c r="FN44" s="629"/>
      <c r="FO44" s="629"/>
      <c r="FP44" s="1267"/>
      <c r="FQ44" s="1296"/>
      <c r="FR44" s="1295">
        <v>377</v>
      </c>
      <c r="FS44" s="1298"/>
      <c r="FT44" s="1296"/>
      <c r="FU44" s="1299">
        <v>377</v>
      </c>
      <c r="FV44" s="580" t="s">
        <v>299</v>
      </c>
      <c r="FW44" s="581"/>
      <c r="FX44" s="789" t="s">
        <v>300</v>
      </c>
      <c r="FY44" s="583"/>
      <c r="FZ44" s="790" t="s">
        <v>301</v>
      </c>
      <c r="GA44" s="585"/>
      <c r="GB44" s="791" t="s">
        <v>302</v>
      </c>
      <c r="GC44" s="587"/>
      <c r="GD44" s="791" t="s">
        <v>303</v>
      </c>
      <c r="GE44" s="588"/>
      <c r="GF44" s="641"/>
      <c r="GG44" s="642"/>
      <c r="GH44" s="642"/>
      <c r="GI44" s="642"/>
      <c r="GJ44" s="517"/>
      <c r="GK44" s="887"/>
      <c r="GL44" s="888"/>
      <c r="GM44" s="914">
        <v>4.5999999999999996</v>
      </c>
      <c r="GN44" s="914"/>
      <c r="GO44" s="914">
        <v>0</v>
      </c>
      <c r="GP44" s="914"/>
      <c r="GQ44" s="889">
        <v>4.5999999999999996</v>
      </c>
      <c r="GR44" s="890"/>
      <c r="GS44" s="915"/>
      <c r="GT44" s="916"/>
      <c r="GU44" s="517" t="s">
        <v>472</v>
      </c>
      <c r="GV44" s="602"/>
      <c r="GW44" s="602"/>
      <c r="GX44" s="602"/>
      <c r="GY44" s="404"/>
      <c r="GZ44" s="404"/>
      <c r="HA44" s="734">
        <v>1.5</v>
      </c>
      <c r="HB44" s="404" t="s">
        <v>445</v>
      </c>
      <c r="HC44" s="917"/>
      <c r="HD44" s="406"/>
    </row>
    <row r="45" spans="1:219" ht="20.100000000000001" customHeight="1" thickTop="1">
      <c r="A45" s="918" t="s">
        <v>398</v>
      </c>
      <c r="B45" s="919"/>
      <c r="C45" s="919"/>
      <c r="D45" s="919"/>
      <c r="E45" s="919"/>
      <c r="F45" s="920"/>
      <c r="G45" s="921"/>
      <c r="H45" s="922">
        <v>0</v>
      </c>
      <c r="I45" s="923"/>
      <c r="J45" s="922">
        <v>0</v>
      </c>
      <c r="K45" s="923"/>
      <c r="L45" s="922">
        <v>0</v>
      </c>
      <c r="M45" s="923"/>
      <c r="N45" s="922">
        <v>0</v>
      </c>
      <c r="O45" s="923"/>
      <c r="P45" s="922">
        <v>0</v>
      </c>
      <c r="Q45" s="923"/>
      <c r="R45" s="922">
        <v>0</v>
      </c>
      <c r="S45" s="923"/>
      <c r="T45" s="922">
        <v>0</v>
      </c>
      <c r="U45" s="923"/>
      <c r="V45" s="922">
        <v>0</v>
      </c>
      <c r="W45" s="923"/>
      <c r="X45" s="922">
        <v>3262</v>
      </c>
      <c r="Y45" s="923"/>
      <c r="Z45" s="922">
        <v>3219</v>
      </c>
      <c r="AA45" s="923"/>
      <c r="AB45" s="922">
        <v>3268</v>
      </c>
      <c r="AC45" s="923"/>
      <c r="AD45" s="922">
        <v>3276</v>
      </c>
      <c r="AE45" s="923"/>
      <c r="AF45" s="922">
        <v>3285</v>
      </c>
      <c r="AG45" s="923"/>
      <c r="AH45" s="922">
        <v>3274</v>
      </c>
      <c r="AI45" s="923"/>
      <c r="AJ45" s="922">
        <v>3227</v>
      </c>
      <c r="AK45" s="923"/>
      <c r="AL45" s="922">
        <v>3199</v>
      </c>
      <c r="AM45" s="923"/>
      <c r="AN45" s="922">
        <v>3128</v>
      </c>
      <c r="AO45" s="923"/>
      <c r="AP45" s="922">
        <v>3083</v>
      </c>
      <c r="AQ45" s="923"/>
      <c r="AR45" s="922">
        <v>0</v>
      </c>
      <c r="AS45" s="923"/>
      <c r="AT45" s="922">
        <v>0</v>
      </c>
      <c r="AU45" s="923"/>
      <c r="AV45" s="922">
        <v>0</v>
      </c>
      <c r="AW45" s="923"/>
      <c r="AX45" s="922">
        <v>0</v>
      </c>
      <c r="AY45" s="923"/>
      <c r="AZ45" s="922">
        <v>0</v>
      </c>
      <c r="BA45" s="923"/>
      <c r="BB45" s="924">
        <v>0</v>
      </c>
      <c r="BC45" s="635"/>
      <c r="BD45" s="918" t="s">
        <v>398</v>
      </c>
      <c r="BE45" s="919"/>
      <c r="BF45" s="919"/>
      <c r="BG45" s="919"/>
      <c r="BH45" s="919"/>
      <c r="BI45" s="920"/>
      <c r="BJ45" s="921"/>
      <c r="BK45" s="922">
        <v>0</v>
      </c>
      <c r="BL45" s="923"/>
      <c r="BM45" s="922">
        <v>0</v>
      </c>
      <c r="BN45" s="923"/>
      <c r="BO45" s="922">
        <v>0</v>
      </c>
      <c r="BP45" s="923"/>
      <c r="BQ45" s="922">
        <v>0</v>
      </c>
      <c r="BR45" s="923"/>
      <c r="BS45" s="922">
        <v>0</v>
      </c>
      <c r="BT45" s="923"/>
      <c r="BU45" s="922">
        <v>0</v>
      </c>
      <c r="BV45" s="923"/>
      <c r="BW45" s="922">
        <v>0</v>
      </c>
      <c r="BX45" s="923"/>
      <c r="BY45" s="922">
        <v>0</v>
      </c>
      <c r="BZ45" s="923"/>
      <c r="CA45" s="922">
        <v>3242</v>
      </c>
      <c r="CB45" s="923"/>
      <c r="CC45" s="922">
        <v>3199</v>
      </c>
      <c r="CD45" s="923"/>
      <c r="CE45" s="922">
        <v>3248</v>
      </c>
      <c r="CF45" s="923"/>
      <c r="CG45" s="922">
        <v>3256</v>
      </c>
      <c r="CH45" s="923"/>
      <c r="CI45" s="922">
        <v>3265</v>
      </c>
      <c r="CJ45" s="923"/>
      <c r="CK45" s="922">
        <v>3234</v>
      </c>
      <c r="CL45" s="923"/>
      <c r="CM45" s="922">
        <v>3207</v>
      </c>
      <c r="CN45" s="923"/>
      <c r="CO45" s="922">
        <v>3159</v>
      </c>
      <c r="CP45" s="923"/>
      <c r="CQ45" s="922">
        <v>3128</v>
      </c>
      <c r="CR45" s="923"/>
      <c r="CS45" s="922">
        <v>3063</v>
      </c>
      <c r="CT45" s="923"/>
      <c r="CU45" s="922">
        <v>0</v>
      </c>
      <c r="CV45" s="923"/>
      <c r="CW45" s="922">
        <v>0</v>
      </c>
      <c r="CX45" s="923"/>
      <c r="CY45" s="922">
        <v>0</v>
      </c>
      <c r="CZ45" s="923"/>
      <c r="DA45" s="922">
        <v>0</v>
      </c>
      <c r="DB45" s="923"/>
      <c r="DC45" s="922">
        <v>0</v>
      </c>
      <c r="DD45" s="923"/>
      <c r="DE45" s="924">
        <v>0</v>
      </c>
      <c r="DF45" s="635"/>
      <c r="DG45" s="918" t="s">
        <v>398</v>
      </c>
      <c r="DH45" s="919"/>
      <c r="DI45" s="919"/>
      <c r="DJ45" s="919"/>
      <c r="DK45" s="919"/>
      <c r="DL45" s="920"/>
      <c r="DM45" s="921"/>
      <c r="DN45" s="922">
        <v>0</v>
      </c>
      <c r="DO45" s="923"/>
      <c r="DP45" s="922">
        <v>0</v>
      </c>
      <c r="DQ45" s="923"/>
      <c r="DR45" s="922">
        <v>0</v>
      </c>
      <c r="DS45" s="923"/>
      <c r="DT45" s="922">
        <v>0</v>
      </c>
      <c r="DU45" s="923"/>
      <c r="DV45" s="922">
        <v>0</v>
      </c>
      <c r="DW45" s="923"/>
      <c r="DX45" s="922">
        <v>0</v>
      </c>
      <c r="DY45" s="923"/>
      <c r="DZ45" s="922">
        <v>0</v>
      </c>
      <c r="EA45" s="923"/>
      <c r="EB45" s="922">
        <v>0</v>
      </c>
      <c r="EC45" s="923"/>
      <c r="ED45" s="922">
        <v>3102</v>
      </c>
      <c r="EE45" s="923"/>
      <c r="EF45" s="922">
        <v>3078</v>
      </c>
      <c r="EG45" s="923"/>
      <c r="EH45" s="922">
        <v>3127</v>
      </c>
      <c r="EI45" s="923"/>
      <c r="EJ45" s="922">
        <v>3155</v>
      </c>
      <c r="EK45" s="923"/>
      <c r="EL45" s="922">
        <v>3144</v>
      </c>
      <c r="EM45" s="923"/>
      <c r="EN45" s="922">
        <v>3113</v>
      </c>
      <c r="EO45" s="923"/>
      <c r="EP45" s="922">
        <v>3086</v>
      </c>
      <c r="EQ45" s="923"/>
      <c r="ER45" s="922">
        <v>3058</v>
      </c>
      <c r="ES45" s="923"/>
      <c r="ET45" s="922">
        <v>2987</v>
      </c>
      <c r="EU45" s="923"/>
      <c r="EV45" s="922">
        <v>2923</v>
      </c>
      <c r="EW45" s="923"/>
      <c r="EX45" s="922">
        <v>0</v>
      </c>
      <c r="EY45" s="923"/>
      <c r="EZ45" s="922">
        <v>0</v>
      </c>
      <c r="FA45" s="923"/>
      <c r="FB45" s="922">
        <v>0</v>
      </c>
      <c r="FC45" s="923"/>
      <c r="FD45" s="922">
        <v>0</v>
      </c>
      <c r="FE45" s="923"/>
      <c r="FF45" s="922">
        <v>0</v>
      </c>
      <c r="FG45" s="923"/>
      <c r="FH45" s="924">
        <v>0</v>
      </c>
      <c r="FI45" s="635"/>
      <c r="FJ45" s="918" t="s">
        <v>398</v>
      </c>
      <c r="FK45" s="919"/>
      <c r="FL45" s="919"/>
      <c r="FM45" s="919"/>
      <c r="FN45" s="919"/>
      <c r="FO45" s="920"/>
      <c r="FP45" s="925"/>
      <c r="FQ45" s="926"/>
      <c r="FR45" s="922">
        <v>1399</v>
      </c>
      <c r="FS45" s="927"/>
      <c r="FT45" s="926"/>
      <c r="FU45" s="928">
        <v>1419</v>
      </c>
      <c r="FV45" s="580"/>
      <c r="FW45" s="581"/>
      <c r="FX45" s="789"/>
      <c r="FY45" s="583"/>
      <c r="FZ45" s="790"/>
      <c r="GA45" s="585"/>
      <c r="GB45" s="791"/>
      <c r="GC45" s="587"/>
      <c r="GD45" s="791"/>
      <c r="GE45" s="588"/>
      <c r="GF45" s="641"/>
      <c r="GG45" s="642"/>
      <c r="GH45" s="642"/>
      <c r="GI45" s="642"/>
      <c r="GJ45" s="487"/>
      <c r="GK45" s="929"/>
      <c r="GL45" s="929"/>
      <c r="GM45" s="930"/>
      <c r="GN45" s="930"/>
      <c r="GO45" s="931"/>
      <c r="GP45" s="929"/>
      <c r="GQ45" s="929"/>
      <c r="GR45" s="929"/>
      <c r="GS45" s="932"/>
      <c r="GT45" s="840"/>
      <c r="GU45" s="517" t="s">
        <v>473</v>
      </c>
      <c r="GV45" s="404"/>
      <c r="GW45" s="404"/>
      <c r="GX45" s="404"/>
      <c r="GY45" s="517"/>
      <c r="GZ45" s="716"/>
      <c r="HA45" s="734">
        <v>19</v>
      </c>
      <c r="HB45" s="404" t="s">
        <v>445</v>
      </c>
      <c r="HC45" s="917"/>
      <c r="HD45" s="406"/>
    </row>
    <row r="46" spans="1:219" ht="20.100000000000001" customHeight="1">
      <c r="A46" s="933" t="s">
        <v>399</v>
      </c>
      <c r="B46" s="934"/>
      <c r="C46" s="934"/>
      <c r="D46" s="934"/>
      <c r="E46" s="934"/>
      <c r="F46" s="935"/>
      <c r="G46" s="936" t="s">
        <v>400</v>
      </c>
      <c r="H46" s="937"/>
      <c r="I46" s="938" t="s">
        <v>400</v>
      </c>
      <c r="J46" s="937"/>
      <c r="K46" s="938" t="s">
        <v>400</v>
      </c>
      <c r="L46" s="937"/>
      <c r="M46" s="938" t="s">
        <v>400</v>
      </c>
      <c r="N46" s="937"/>
      <c r="O46" s="938" t="s">
        <v>400</v>
      </c>
      <c r="P46" s="937"/>
      <c r="Q46" s="938" t="s">
        <v>400</v>
      </c>
      <c r="R46" s="937"/>
      <c r="S46" s="938" t="s">
        <v>400</v>
      </c>
      <c r="T46" s="937"/>
      <c r="U46" s="938" t="s">
        <v>400</v>
      </c>
      <c r="V46" s="937"/>
      <c r="W46" s="938" t="s">
        <v>400</v>
      </c>
      <c r="X46" s="937"/>
      <c r="Y46" s="938" t="s">
        <v>400</v>
      </c>
      <c r="Z46" s="937"/>
      <c r="AA46" s="938" t="s">
        <v>400</v>
      </c>
      <c r="AB46" s="937"/>
      <c r="AC46" s="938" t="s">
        <v>400</v>
      </c>
      <c r="AD46" s="937"/>
      <c r="AE46" s="938" t="s">
        <v>400</v>
      </c>
      <c r="AF46" s="937"/>
      <c r="AG46" s="938" t="s">
        <v>400</v>
      </c>
      <c r="AH46" s="937"/>
      <c r="AI46" s="938" t="s">
        <v>400</v>
      </c>
      <c r="AJ46" s="937"/>
      <c r="AK46" s="938" t="s">
        <v>400</v>
      </c>
      <c r="AL46" s="937"/>
      <c r="AM46" s="938" t="s">
        <v>400</v>
      </c>
      <c r="AN46" s="937"/>
      <c r="AO46" s="938" t="s">
        <v>400</v>
      </c>
      <c r="AP46" s="937"/>
      <c r="AQ46" s="938" t="s">
        <v>400</v>
      </c>
      <c r="AR46" s="937"/>
      <c r="AS46" s="938" t="s">
        <v>400</v>
      </c>
      <c r="AT46" s="937"/>
      <c r="AU46" s="938" t="s">
        <v>400</v>
      </c>
      <c r="AV46" s="937"/>
      <c r="AW46" s="938" t="s">
        <v>400</v>
      </c>
      <c r="AX46" s="937"/>
      <c r="AY46" s="938" t="s">
        <v>400</v>
      </c>
      <c r="AZ46" s="939"/>
      <c r="BA46" s="940" t="s">
        <v>400</v>
      </c>
      <c r="BB46" s="941"/>
      <c r="BC46" s="942"/>
      <c r="BD46" s="933" t="s">
        <v>515</v>
      </c>
      <c r="BE46" s="934"/>
      <c r="BF46" s="934"/>
      <c r="BG46" s="934"/>
      <c r="BH46" s="934"/>
      <c r="BI46" s="935"/>
      <c r="BJ46" s="936" t="s">
        <v>400</v>
      </c>
      <c r="BK46" s="937"/>
      <c r="BL46" s="938" t="s">
        <v>400</v>
      </c>
      <c r="BM46" s="937"/>
      <c r="BN46" s="938" t="s">
        <v>400</v>
      </c>
      <c r="BO46" s="937"/>
      <c r="BP46" s="938" t="s">
        <v>400</v>
      </c>
      <c r="BQ46" s="937"/>
      <c r="BR46" s="938" t="s">
        <v>400</v>
      </c>
      <c r="BS46" s="937"/>
      <c r="BT46" s="938" t="s">
        <v>400</v>
      </c>
      <c r="BU46" s="937"/>
      <c r="BV46" s="938" t="s">
        <v>400</v>
      </c>
      <c r="BW46" s="937"/>
      <c r="BX46" s="938" t="s">
        <v>400</v>
      </c>
      <c r="BY46" s="937"/>
      <c r="BZ46" s="938" t="s">
        <v>400</v>
      </c>
      <c r="CA46" s="937"/>
      <c r="CB46" s="938" t="s">
        <v>400</v>
      </c>
      <c r="CC46" s="937"/>
      <c r="CD46" s="938" t="s">
        <v>400</v>
      </c>
      <c r="CE46" s="937"/>
      <c r="CF46" s="938" t="s">
        <v>400</v>
      </c>
      <c r="CG46" s="937"/>
      <c r="CH46" s="938" t="s">
        <v>400</v>
      </c>
      <c r="CI46" s="937"/>
      <c r="CJ46" s="938" t="s">
        <v>400</v>
      </c>
      <c r="CK46" s="937"/>
      <c r="CL46" s="938" t="s">
        <v>400</v>
      </c>
      <c r="CM46" s="937"/>
      <c r="CN46" s="938" t="s">
        <v>400</v>
      </c>
      <c r="CO46" s="937"/>
      <c r="CP46" s="938" t="s">
        <v>400</v>
      </c>
      <c r="CQ46" s="937"/>
      <c r="CR46" s="938" t="s">
        <v>400</v>
      </c>
      <c r="CS46" s="937"/>
      <c r="CT46" s="938" t="s">
        <v>400</v>
      </c>
      <c r="CU46" s="937"/>
      <c r="CV46" s="938" t="s">
        <v>400</v>
      </c>
      <c r="CW46" s="937"/>
      <c r="CX46" s="938" t="s">
        <v>400</v>
      </c>
      <c r="CY46" s="937"/>
      <c r="CZ46" s="938" t="s">
        <v>400</v>
      </c>
      <c r="DA46" s="937"/>
      <c r="DB46" s="938" t="s">
        <v>400</v>
      </c>
      <c r="DC46" s="939"/>
      <c r="DD46" s="940" t="s">
        <v>400</v>
      </c>
      <c r="DE46" s="941"/>
      <c r="DF46" s="942"/>
      <c r="DG46" s="933" t="s">
        <v>399</v>
      </c>
      <c r="DH46" s="934"/>
      <c r="DI46" s="934"/>
      <c r="DJ46" s="934"/>
      <c r="DK46" s="934"/>
      <c r="DL46" s="935"/>
      <c r="DM46" s="936" t="s">
        <v>400</v>
      </c>
      <c r="DN46" s="937"/>
      <c r="DO46" s="938" t="s">
        <v>400</v>
      </c>
      <c r="DP46" s="937"/>
      <c r="DQ46" s="938" t="s">
        <v>400</v>
      </c>
      <c r="DR46" s="937"/>
      <c r="DS46" s="938" t="s">
        <v>400</v>
      </c>
      <c r="DT46" s="937"/>
      <c r="DU46" s="938" t="s">
        <v>400</v>
      </c>
      <c r="DV46" s="937"/>
      <c r="DW46" s="938" t="s">
        <v>400</v>
      </c>
      <c r="DX46" s="937"/>
      <c r="DY46" s="938" t="s">
        <v>400</v>
      </c>
      <c r="DZ46" s="937"/>
      <c r="EA46" s="938" t="s">
        <v>400</v>
      </c>
      <c r="EB46" s="937"/>
      <c r="EC46" s="938" t="s">
        <v>400</v>
      </c>
      <c r="ED46" s="937"/>
      <c r="EE46" s="938" t="s">
        <v>400</v>
      </c>
      <c r="EF46" s="937"/>
      <c r="EG46" s="938" t="s">
        <v>400</v>
      </c>
      <c r="EH46" s="937"/>
      <c r="EI46" s="938" t="s">
        <v>400</v>
      </c>
      <c r="EJ46" s="937"/>
      <c r="EK46" s="938" t="s">
        <v>400</v>
      </c>
      <c r="EL46" s="937"/>
      <c r="EM46" s="938" t="s">
        <v>400</v>
      </c>
      <c r="EN46" s="937"/>
      <c r="EO46" s="938" t="s">
        <v>400</v>
      </c>
      <c r="EP46" s="937"/>
      <c r="EQ46" s="938" t="s">
        <v>400</v>
      </c>
      <c r="ER46" s="937"/>
      <c r="ES46" s="938" t="s">
        <v>400</v>
      </c>
      <c r="ET46" s="937"/>
      <c r="EU46" s="938" t="s">
        <v>400</v>
      </c>
      <c r="EV46" s="937"/>
      <c r="EW46" s="938" t="s">
        <v>400</v>
      </c>
      <c r="EX46" s="937"/>
      <c r="EY46" s="938" t="s">
        <v>400</v>
      </c>
      <c r="EZ46" s="937"/>
      <c r="FA46" s="938" t="s">
        <v>400</v>
      </c>
      <c r="FB46" s="937"/>
      <c r="FC46" s="938" t="s">
        <v>400</v>
      </c>
      <c r="FD46" s="937"/>
      <c r="FE46" s="938" t="s">
        <v>400</v>
      </c>
      <c r="FF46" s="939"/>
      <c r="FG46" s="940" t="s">
        <v>400</v>
      </c>
      <c r="FH46" s="941"/>
      <c r="FI46" s="942"/>
      <c r="FJ46" s="933" t="s">
        <v>401</v>
      </c>
      <c r="FK46" s="934"/>
      <c r="FL46" s="934"/>
      <c r="FM46" s="934"/>
      <c r="FN46" s="934"/>
      <c r="FO46" s="935"/>
      <c r="FP46" s="943"/>
      <c r="FQ46" s="944">
        <v>1</v>
      </c>
      <c r="FR46" s="937"/>
      <c r="FS46" s="945"/>
      <c r="FT46" s="946">
        <v>1</v>
      </c>
      <c r="FU46" s="947"/>
      <c r="FV46" s="897"/>
      <c r="FW46" s="898"/>
      <c r="FX46" s="899"/>
      <c r="FY46" s="900"/>
      <c r="FZ46" s="901"/>
      <c r="GA46" s="902"/>
      <c r="GB46" s="903"/>
      <c r="GC46" s="904"/>
      <c r="GD46" s="903"/>
      <c r="GE46" s="905"/>
      <c r="GF46" s="671"/>
      <c r="GG46" s="948"/>
      <c r="GH46" s="948"/>
      <c r="GI46" s="948"/>
      <c r="GJ46" s="404"/>
      <c r="GK46" s="400" t="s">
        <v>474</v>
      </c>
      <c r="GL46" s="404"/>
      <c r="GM46" s="733"/>
      <c r="GN46" s="733"/>
      <c r="GO46" s="733"/>
      <c r="GP46" s="733"/>
      <c r="GQ46" s="733"/>
      <c r="GR46" s="840"/>
      <c r="GS46" s="567"/>
      <c r="GT46" s="746"/>
      <c r="GU46" s="757" t="s">
        <v>475</v>
      </c>
      <c r="GV46" s="757"/>
      <c r="GW46" s="757"/>
      <c r="GX46" s="757"/>
      <c r="GY46" s="602"/>
      <c r="GZ46" s="758"/>
      <c r="HA46" s="734">
        <v>17.5</v>
      </c>
      <c r="HB46" s="404" t="s">
        <v>445</v>
      </c>
      <c r="HC46" s="917"/>
      <c r="HD46" s="406"/>
    </row>
    <row r="47" spans="1:219" ht="20.100000000000001" customHeight="1" thickBot="1">
      <c r="A47" s="949" t="s">
        <v>402</v>
      </c>
      <c r="B47" s="950"/>
      <c r="C47" s="950"/>
      <c r="D47" s="951"/>
      <c r="E47" s="952"/>
      <c r="F47" s="952"/>
      <c r="G47" s="953"/>
      <c r="H47" s="954">
        <v>0</v>
      </c>
      <c r="I47" s="955"/>
      <c r="J47" s="954">
        <v>0</v>
      </c>
      <c r="K47" s="955"/>
      <c r="L47" s="954">
        <v>0</v>
      </c>
      <c r="M47" s="955"/>
      <c r="N47" s="954">
        <v>0</v>
      </c>
      <c r="O47" s="955"/>
      <c r="P47" s="954">
        <v>0</v>
      </c>
      <c r="Q47" s="955"/>
      <c r="R47" s="954">
        <v>0</v>
      </c>
      <c r="S47" s="955"/>
      <c r="T47" s="954">
        <v>0</v>
      </c>
      <c r="U47" s="955"/>
      <c r="V47" s="954">
        <v>0</v>
      </c>
      <c r="W47" s="955"/>
      <c r="X47" s="954">
        <v>3425</v>
      </c>
      <c r="Y47" s="955"/>
      <c r="Z47" s="954">
        <v>3380</v>
      </c>
      <c r="AA47" s="955"/>
      <c r="AB47" s="954">
        <v>3431</v>
      </c>
      <c r="AC47" s="955"/>
      <c r="AD47" s="954">
        <v>3440</v>
      </c>
      <c r="AE47" s="955"/>
      <c r="AF47" s="954">
        <v>3449</v>
      </c>
      <c r="AG47" s="955"/>
      <c r="AH47" s="954">
        <v>3438</v>
      </c>
      <c r="AI47" s="955"/>
      <c r="AJ47" s="954">
        <v>3388</v>
      </c>
      <c r="AK47" s="955"/>
      <c r="AL47" s="954">
        <v>3359</v>
      </c>
      <c r="AM47" s="955"/>
      <c r="AN47" s="954">
        <v>3284</v>
      </c>
      <c r="AO47" s="955"/>
      <c r="AP47" s="954">
        <v>3237</v>
      </c>
      <c r="AQ47" s="955"/>
      <c r="AR47" s="954">
        <v>0</v>
      </c>
      <c r="AS47" s="955"/>
      <c r="AT47" s="954">
        <v>0</v>
      </c>
      <c r="AU47" s="955"/>
      <c r="AV47" s="954">
        <v>0</v>
      </c>
      <c r="AW47" s="955"/>
      <c r="AX47" s="954">
        <v>0</v>
      </c>
      <c r="AY47" s="956"/>
      <c r="AZ47" s="957">
        <v>0</v>
      </c>
      <c r="BA47" s="958"/>
      <c r="BB47" s="959">
        <v>0</v>
      </c>
      <c r="BC47" s="960"/>
      <c r="BD47" s="949" t="s">
        <v>402</v>
      </c>
      <c r="BE47" s="950"/>
      <c r="BF47" s="950"/>
      <c r="BG47" s="951"/>
      <c r="BH47" s="952"/>
      <c r="BI47" s="952"/>
      <c r="BJ47" s="953"/>
      <c r="BK47" s="954">
        <v>0</v>
      </c>
      <c r="BL47" s="955"/>
      <c r="BM47" s="954">
        <v>0</v>
      </c>
      <c r="BN47" s="955"/>
      <c r="BO47" s="954">
        <v>0</v>
      </c>
      <c r="BP47" s="955"/>
      <c r="BQ47" s="954">
        <v>0</v>
      </c>
      <c r="BR47" s="955"/>
      <c r="BS47" s="954">
        <v>0</v>
      </c>
      <c r="BT47" s="955"/>
      <c r="BU47" s="954">
        <v>0</v>
      </c>
      <c r="BV47" s="955"/>
      <c r="BW47" s="954">
        <v>0</v>
      </c>
      <c r="BX47" s="955"/>
      <c r="BY47" s="954">
        <v>0</v>
      </c>
      <c r="BZ47" s="955"/>
      <c r="CA47" s="954">
        <v>3404</v>
      </c>
      <c r="CB47" s="955"/>
      <c r="CC47" s="954">
        <v>3359</v>
      </c>
      <c r="CD47" s="955"/>
      <c r="CE47" s="954">
        <v>3410</v>
      </c>
      <c r="CF47" s="955"/>
      <c r="CG47" s="954">
        <v>3419</v>
      </c>
      <c r="CH47" s="955"/>
      <c r="CI47" s="954">
        <v>3428</v>
      </c>
      <c r="CJ47" s="955"/>
      <c r="CK47" s="954">
        <v>3396</v>
      </c>
      <c r="CL47" s="955"/>
      <c r="CM47" s="954">
        <v>3367</v>
      </c>
      <c r="CN47" s="955"/>
      <c r="CO47" s="954">
        <v>3317</v>
      </c>
      <c r="CP47" s="955"/>
      <c r="CQ47" s="954">
        <v>3284</v>
      </c>
      <c r="CR47" s="955"/>
      <c r="CS47" s="954">
        <v>3216</v>
      </c>
      <c r="CT47" s="955"/>
      <c r="CU47" s="954">
        <v>0</v>
      </c>
      <c r="CV47" s="955"/>
      <c r="CW47" s="954">
        <v>0</v>
      </c>
      <c r="CX47" s="955"/>
      <c r="CY47" s="954">
        <v>0</v>
      </c>
      <c r="CZ47" s="955"/>
      <c r="DA47" s="954">
        <v>0</v>
      </c>
      <c r="DB47" s="956"/>
      <c r="DC47" s="957">
        <v>0</v>
      </c>
      <c r="DD47" s="958"/>
      <c r="DE47" s="959">
        <v>0</v>
      </c>
      <c r="DF47" s="960"/>
      <c r="DG47" s="949" t="s">
        <v>402</v>
      </c>
      <c r="DH47" s="950"/>
      <c r="DI47" s="950"/>
      <c r="DJ47" s="951"/>
      <c r="DK47" s="952"/>
      <c r="DL47" s="952"/>
      <c r="DM47" s="953"/>
      <c r="DN47" s="954">
        <v>0</v>
      </c>
      <c r="DO47" s="955"/>
      <c r="DP47" s="954">
        <v>0</v>
      </c>
      <c r="DQ47" s="955"/>
      <c r="DR47" s="954">
        <v>0</v>
      </c>
      <c r="DS47" s="955"/>
      <c r="DT47" s="954">
        <v>0</v>
      </c>
      <c r="DU47" s="955"/>
      <c r="DV47" s="954">
        <v>0</v>
      </c>
      <c r="DW47" s="955"/>
      <c r="DX47" s="954">
        <v>0</v>
      </c>
      <c r="DY47" s="955"/>
      <c r="DZ47" s="954">
        <v>0</v>
      </c>
      <c r="EA47" s="955"/>
      <c r="EB47" s="954">
        <v>0</v>
      </c>
      <c r="EC47" s="955"/>
      <c r="ED47" s="954">
        <v>3257</v>
      </c>
      <c r="EE47" s="955"/>
      <c r="EF47" s="954">
        <v>3232</v>
      </c>
      <c r="EG47" s="955"/>
      <c r="EH47" s="954">
        <v>3283</v>
      </c>
      <c r="EI47" s="955"/>
      <c r="EJ47" s="954">
        <v>3313</v>
      </c>
      <c r="EK47" s="955"/>
      <c r="EL47" s="954">
        <v>3301</v>
      </c>
      <c r="EM47" s="955"/>
      <c r="EN47" s="954">
        <v>3269</v>
      </c>
      <c r="EO47" s="955"/>
      <c r="EP47" s="954">
        <v>3240</v>
      </c>
      <c r="EQ47" s="955"/>
      <c r="ER47" s="954">
        <v>3211</v>
      </c>
      <c r="ES47" s="955"/>
      <c r="ET47" s="954">
        <v>3136</v>
      </c>
      <c r="EU47" s="955"/>
      <c r="EV47" s="954">
        <v>3069</v>
      </c>
      <c r="EW47" s="955"/>
      <c r="EX47" s="954">
        <v>0</v>
      </c>
      <c r="EY47" s="955"/>
      <c r="EZ47" s="954">
        <v>0</v>
      </c>
      <c r="FA47" s="955"/>
      <c r="FB47" s="954">
        <v>0</v>
      </c>
      <c r="FC47" s="955"/>
      <c r="FD47" s="954">
        <v>0</v>
      </c>
      <c r="FE47" s="956"/>
      <c r="FF47" s="957">
        <v>0</v>
      </c>
      <c r="FG47" s="958"/>
      <c r="FH47" s="959">
        <v>0</v>
      </c>
      <c r="FI47" s="960"/>
      <c r="FJ47" s="949" t="s">
        <v>402</v>
      </c>
      <c r="FK47" s="950"/>
      <c r="FL47" s="950"/>
      <c r="FM47" s="951"/>
      <c r="FN47" s="952"/>
      <c r="FO47" s="952"/>
      <c r="FP47" s="961"/>
      <c r="FQ47" s="962"/>
      <c r="FR47" s="954">
        <v>1399</v>
      </c>
      <c r="FS47" s="963"/>
      <c r="FT47" s="962"/>
      <c r="FU47" s="964">
        <v>1419</v>
      </c>
      <c r="FV47" s="965">
        <v>13</v>
      </c>
      <c r="FW47" s="954">
        <v>3449</v>
      </c>
      <c r="FX47" s="966">
        <v>13</v>
      </c>
      <c r="FY47" s="954">
        <v>3428</v>
      </c>
      <c r="FZ47" s="966">
        <v>12</v>
      </c>
      <c r="GA47" s="954">
        <v>3313</v>
      </c>
      <c r="GB47" s="967" t="s">
        <v>542</v>
      </c>
      <c r="GC47" s="954">
        <v>3449</v>
      </c>
      <c r="GD47" s="967" t="s">
        <v>332</v>
      </c>
      <c r="GE47" s="968">
        <v>1419</v>
      </c>
      <c r="GF47" s="671"/>
      <c r="GG47" s="969"/>
      <c r="GH47" s="969"/>
      <c r="GI47" s="969"/>
      <c r="GJ47" s="872"/>
      <c r="GK47" s="404" t="s">
        <v>476</v>
      </c>
      <c r="GL47" s="872"/>
      <c r="GM47" s="517"/>
      <c r="GN47" s="872"/>
      <c r="GO47" s="517"/>
      <c r="GP47" s="517"/>
      <c r="GQ47" s="517"/>
      <c r="GR47" s="872"/>
      <c r="GS47" s="517"/>
      <c r="GT47" s="746"/>
      <c r="GU47" s="757" t="s">
        <v>477</v>
      </c>
      <c r="GV47" s="757"/>
      <c r="GW47" s="757"/>
      <c r="GX47" s="757"/>
      <c r="GY47" s="517"/>
      <c r="GZ47" s="404"/>
      <c r="HA47" s="761">
        <v>-0.15</v>
      </c>
      <c r="HB47" s="404"/>
      <c r="HC47" s="960"/>
      <c r="HD47" s="406"/>
    </row>
    <row r="48" spans="1:219" ht="20.100000000000001" customHeight="1">
      <c r="A48" s="970" t="s">
        <v>403</v>
      </c>
      <c r="B48" s="971" t="s">
        <v>404</v>
      </c>
      <c r="C48" s="874"/>
      <c r="D48" s="804"/>
      <c r="E48" s="804"/>
      <c r="F48" s="805"/>
      <c r="G48" s="723" t="s">
        <v>405</v>
      </c>
      <c r="H48" s="650" t="s">
        <v>368</v>
      </c>
      <c r="I48" s="725" t="s">
        <v>405</v>
      </c>
      <c r="J48" s="972" t="s">
        <v>368</v>
      </c>
      <c r="K48" s="725" t="s">
        <v>405</v>
      </c>
      <c r="L48" s="972" t="s">
        <v>368</v>
      </c>
      <c r="M48" s="725" t="s">
        <v>405</v>
      </c>
      <c r="N48" s="972" t="s">
        <v>368</v>
      </c>
      <c r="O48" s="725" t="s">
        <v>405</v>
      </c>
      <c r="P48" s="972" t="s">
        <v>368</v>
      </c>
      <c r="Q48" s="725" t="s">
        <v>405</v>
      </c>
      <c r="R48" s="972" t="s">
        <v>368</v>
      </c>
      <c r="S48" s="725" t="s">
        <v>405</v>
      </c>
      <c r="T48" s="972" t="s">
        <v>368</v>
      </c>
      <c r="U48" s="725" t="s">
        <v>405</v>
      </c>
      <c r="V48" s="972" t="s">
        <v>368</v>
      </c>
      <c r="W48" s="725" t="s">
        <v>405</v>
      </c>
      <c r="X48" s="972" t="s">
        <v>368</v>
      </c>
      <c r="Y48" s="725" t="s">
        <v>405</v>
      </c>
      <c r="Z48" s="972" t="s">
        <v>368</v>
      </c>
      <c r="AA48" s="725" t="s">
        <v>405</v>
      </c>
      <c r="AB48" s="972" t="s">
        <v>368</v>
      </c>
      <c r="AC48" s="725" t="s">
        <v>405</v>
      </c>
      <c r="AD48" s="972" t="s">
        <v>368</v>
      </c>
      <c r="AE48" s="725" t="s">
        <v>405</v>
      </c>
      <c r="AF48" s="972" t="s">
        <v>368</v>
      </c>
      <c r="AG48" s="725" t="s">
        <v>405</v>
      </c>
      <c r="AH48" s="972" t="s">
        <v>368</v>
      </c>
      <c r="AI48" s="725" t="s">
        <v>405</v>
      </c>
      <c r="AJ48" s="972" t="s">
        <v>368</v>
      </c>
      <c r="AK48" s="725" t="s">
        <v>405</v>
      </c>
      <c r="AL48" s="972" t="s">
        <v>368</v>
      </c>
      <c r="AM48" s="725" t="s">
        <v>405</v>
      </c>
      <c r="AN48" s="972" t="s">
        <v>368</v>
      </c>
      <c r="AO48" s="725" t="s">
        <v>405</v>
      </c>
      <c r="AP48" s="972" t="s">
        <v>368</v>
      </c>
      <c r="AQ48" s="725" t="s">
        <v>405</v>
      </c>
      <c r="AR48" s="972" t="s">
        <v>368</v>
      </c>
      <c r="AS48" s="725" t="s">
        <v>405</v>
      </c>
      <c r="AT48" s="972" t="s">
        <v>368</v>
      </c>
      <c r="AU48" s="725" t="s">
        <v>405</v>
      </c>
      <c r="AV48" s="972" t="s">
        <v>368</v>
      </c>
      <c r="AW48" s="725" t="s">
        <v>405</v>
      </c>
      <c r="AX48" s="972" t="s">
        <v>368</v>
      </c>
      <c r="AY48" s="725" t="s">
        <v>405</v>
      </c>
      <c r="AZ48" s="973" t="s">
        <v>368</v>
      </c>
      <c r="BA48" s="974" t="s">
        <v>405</v>
      </c>
      <c r="BB48" s="975" t="s">
        <v>368</v>
      </c>
      <c r="BC48" s="911"/>
      <c r="BD48" s="970" t="s">
        <v>403</v>
      </c>
      <c r="BE48" s="971" t="s">
        <v>404</v>
      </c>
      <c r="BF48" s="874"/>
      <c r="BG48" s="804"/>
      <c r="BH48" s="804"/>
      <c r="BI48" s="805"/>
      <c r="BJ48" s="723" t="s">
        <v>405</v>
      </c>
      <c r="BK48" s="650" t="s">
        <v>368</v>
      </c>
      <c r="BL48" s="725" t="s">
        <v>405</v>
      </c>
      <c r="BM48" s="972" t="s">
        <v>368</v>
      </c>
      <c r="BN48" s="725" t="s">
        <v>405</v>
      </c>
      <c r="BO48" s="972" t="s">
        <v>368</v>
      </c>
      <c r="BP48" s="725" t="s">
        <v>405</v>
      </c>
      <c r="BQ48" s="972" t="s">
        <v>368</v>
      </c>
      <c r="BR48" s="725" t="s">
        <v>405</v>
      </c>
      <c r="BS48" s="972" t="s">
        <v>368</v>
      </c>
      <c r="BT48" s="725" t="s">
        <v>405</v>
      </c>
      <c r="BU48" s="972" t="s">
        <v>368</v>
      </c>
      <c r="BV48" s="725" t="s">
        <v>405</v>
      </c>
      <c r="BW48" s="972" t="s">
        <v>368</v>
      </c>
      <c r="BX48" s="725" t="s">
        <v>405</v>
      </c>
      <c r="BY48" s="972" t="s">
        <v>368</v>
      </c>
      <c r="BZ48" s="725" t="s">
        <v>405</v>
      </c>
      <c r="CA48" s="972" t="s">
        <v>368</v>
      </c>
      <c r="CB48" s="725" t="s">
        <v>405</v>
      </c>
      <c r="CC48" s="972" t="s">
        <v>368</v>
      </c>
      <c r="CD48" s="725" t="s">
        <v>405</v>
      </c>
      <c r="CE48" s="972" t="s">
        <v>368</v>
      </c>
      <c r="CF48" s="725" t="s">
        <v>405</v>
      </c>
      <c r="CG48" s="972" t="s">
        <v>368</v>
      </c>
      <c r="CH48" s="725" t="s">
        <v>405</v>
      </c>
      <c r="CI48" s="972" t="s">
        <v>368</v>
      </c>
      <c r="CJ48" s="725" t="s">
        <v>405</v>
      </c>
      <c r="CK48" s="972" t="s">
        <v>368</v>
      </c>
      <c r="CL48" s="725" t="s">
        <v>405</v>
      </c>
      <c r="CM48" s="972" t="s">
        <v>368</v>
      </c>
      <c r="CN48" s="725" t="s">
        <v>405</v>
      </c>
      <c r="CO48" s="972" t="s">
        <v>368</v>
      </c>
      <c r="CP48" s="725" t="s">
        <v>405</v>
      </c>
      <c r="CQ48" s="972" t="s">
        <v>368</v>
      </c>
      <c r="CR48" s="725" t="s">
        <v>405</v>
      </c>
      <c r="CS48" s="972" t="s">
        <v>368</v>
      </c>
      <c r="CT48" s="725" t="s">
        <v>405</v>
      </c>
      <c r="CU48" s="972" t="s">
        <v>368</v>
      </c>
      <c r="CV48" s="725" t="s">
        <v>405</v>
      </c>
      <c r="CW48" s="972" t="s">
        <v>368</v>
      </c>
      <c r="CX48" s="725" t="s">
        <v>405</v>
      </c>
      <c r="CY48" s="972" t="s">
        <v>368</v>
      </c>
      <c r="CZ48" s="725" t="s">
        <v>405</v>
      </c>
      <c r="DA48" s="972" t="s">
        <v>368</v>
      </c>
      <c r="DB48" s="725" t="s">
        <v>405</v>
      </c>
      <c r="DC48" s="973" t="s">
        <v>368</v>
      </c>
      <c r="DD48" s="974" t="s">
        <v>405</v>
      </c>
      <c r="DE48" s="975" t="s">
        <v>368</v>
      </c>
      <c r="DF48" s="911"/>
      <c r="DG48" s="970" t="s">
        <v>403</v>
      </c>
      <c r="DH48" s="971" t="s">
        <v>404</v>
      </c>
      <c r="DI48" s="874"/>
      <c r="DJ48" s="804"/>
      <c r="DK48" s="804"/>
      <c r="DL48" s="805"/>
      <c r="DM48" s="723" t="s">
        <v>405</v>
      </c>
      <c r="DN48" s="650" t="s">
        <v>368</v>
      </c>
      <c r="DO48" s="725" t="s">
        <v>405</v>
      </c>
      <c r="DP48" s="972" t="s">
        <v>368</v>
      </c>
      <c r="DQ48" s="725" t="s">
        <v>405</v>
      </c>
      <c r="DR48" s="972" t="s">
        <v>368</v>
      </c>
      <c r="DS48" s="725" t="s">
        <v>405</v>
      </c>
      <c r="DT48" s="972" t="s">
        <v>368</v>
      </c>
      <c r="DU48" s="725" t="s">
        <v>405</v>
      </c>
      <c r="DV48" s="972" t="s">
        <v>368</v>
      </c>
      <c r="DW48" s="725" t="s">
        <v>405</v>
      </c>
      <c r="DX48" s="972" t="s">
        <v>368</v>
      </c>
      <c r="DY48" s="725" t="s">
        <v>405</v>
      </c>
      <c r="DZ48" s="972" t="s">
        <v>368</v>
      </c>
      <c r="EA48" s="725" t="s">
        <v>405</v>
      </c>
      <c r="EB48" s="972" t="s">
        <v>368</v>
      </c>
      <c r="EC48" s="725" t="s">
        <v>405</v>
      </c>
      <c r="ED48" s="972" t="s">
        <v>368</v>
      </c>
      <c r="EE48" s="725" t="s">
        <v>405</v>
      </c>
      <c r="EF48" s="972" t="s">
        <v>368</v>
      </c>
      <c r="EG48" s="725" t="s">
        <v>405</v>
      </c>
      <c r="EH48" s="972" t="s">
        <v>368</v>
      </c>
      <c r="EI48" s="725" t="s">
        <v>405</v>
      </c>
      <c r="EJ48" s="972" t="s">
        <v>368</v>
      </c>
      <c r="EK48" s="725" t="s">
        <v>405</v>
      </c>
      <c r="EL48" s="972" t="s">
        <v>368</v>
      </c>
      <c r="EM48" s="725" t="s">
        <v>405</v>
      </c>
      <c r="EN48" s="972" t="s">
        <v>368</v>
      </c>
      <c r="EO48" s="725" t="s">
        <v>405</v>
      </c>
      <c r="EP48" s="972" t="s">
        <v>368</v>
      </c>
      <c r="EQ48" s="725" t="s">
        <v>405</v>
      </c>
      <c r="ER48" s="972" t="s">
        <v>368</v>
      </c>
      <c r="ES48" s="725" t="s">
        <v>405</v>
      </c>
      <c r="ET48" s="972" t="s">
        <v>368</v>
      </c>
      <c r="EU48" s="725" t="s">
        <v>405</v>
      </c>
      <c r="EV48" s="972" t="s">
        <v>368</v>
      </c>
      <c r="EW48" s="725" t="s">
        <v>405</v>
      </c>
      <c r="EX48" s="972" t="s">
        <v>368</v>
      </c>
      <c r="EY48" s="725" t="s">
        <v>405</v>
      </c>
      <c r="EZ48" s="972" t="s">
        <v>368</v>
      </c>
      <c r="FA48" s="725" t="s">
        <v>405</v>
      </c>
      <c r="FB48" s="972" t="s">
        <v>368</v>
      </c>
      <c r="FC48" s="725" t="s">
        <v>405</v>
      </c>
      <c r="FD48" s="972" t="s">
        <v>368</v>
      </c>
      <c r="FE48" s="725" t="s">
        <v>405</v>
      </c>
      <c r="FF48" s="973" t="s">
        <v>368</v>
      </c>
      <c r="FG48" s="974" t="s">
        <v>405</v>
      </c>
      <c r="FH48" s="975" t="s">
        <v>368</v>
      </c>
      <c r="FI48" s="911"/>
      <c r="FJ48" s="970" t="s">
        <v>403</v>
      </c>
      <c r="FK48" s="721" t="s">
        <v>404</v>
      </c>
      <c r="FL48" s="874"/>
      <c r="FM48" s="804"/>
      <c r="FN48" s="804"/>
      <c r="FO48" s="805"/>
      <c r="FP48" s="730" t="s">
        <v>370</v>
      </c>
      <c r="FQ48" s="656" t="s">
        <v>405</v>
      </c>
      <c r="FR48" s="650" t="s">
        <v>371</v>
      </c>
      <c r="FS48" s="976" t="s">
        <v>370</v>
      </c>
      <c r="FT48" s="656" t="s">
        <v>405</v>
      </c>
      <c r="FU48" s="977" t="s">
        <v>371</v>
      </c>
      <c r="FV48" s="978"/>
      <c r="FW48" s="972" t="s">
        <v>296</v>
      </c>
      <c r="FX48" s="976"/>
      <c r="FY48" s="972" t="s">
        <v>296</v>
      </c>
      <c r="FZ48" s="976"/>
      <c r="GA48" s="972" t="s">
        <v>296</v>
      </c>
      <c r="GB48" s="976"/>
      <c r="GC48" s="972" t="s">
        <v>296</v>
      </c>
      <c r="GD48" s="976"/>
      <c r="GE48" s="979" t="s">
        <v>297</v>
      </c>
      <c r="GF48" s="671"/>
      <c r="GG48" s="642"/>
      <c r="GH48" s="642"/>
      <c r="GI48" s="642"/>
      <c r="GJ48" s="517"/>
      <c r="GK48" s="602" t="s">
        <v>478</v>
      </c>
      <c r="GL48" s="517"/>
      <c r="GM48" s="602"/>
      <c r="GN48" s="517"/>
      <c r="GO48" s="602"/>
      <c r="GP48" s="602"/>
      <c r="GQ48" s="602"/>
      <c r="GR48" s="517"/>
      <c r="GS48" s="517"/>
      <c r="GT48" s="487"/>
      <c r="GU48" s="487"/>
      <c r="GV48" s="487"/>
      <c r="GW48" s="566"/>
      <c r="GX48" s="566"/>
      <c r="GY48" s="566"/>
      <c r="GZ48" s="565"/>
      <c r="HA48" s="487"/>
      <c r="HB48" s="487"/>
      <c r="HC48" s="960"/>
      <c r="HD48" s="406"/>
    </row>
    <row r="49" spans="1:212" ht="20.100000000000001" customHeight="1">
      <c r="A49" s="980"/>
      <c r="B49" s="735" t="s">
        <v>372</v>
      </c>
      <c r="C49" s="981"/>
      <c r="D49" s="737"/>
      <c r="E49" s="738">
        <v>0</v>
      </c>
      <c r="F49" s="982"/>
      <c r="G49" s="740"/>
      <c r="H49" s="546"/>
      <c r="I49" s="741"/>
      <c r="J49" s="546"/>
      <c r="K49" s="741"/>
      <c r="L49" s="546"/>
      <c r="M49" s="741"/>
      <c r="N49" s="546"/>
      <c r="O49" s="741"/>
      <c r="P49" s="546"/>
      <c r="Q49" s="741"/>
      <c r="R49" s="546"/>
      <c r="S49" s="741"/>
      <c r="T49" s="546"/>
      <c r="U49" s="741"/>
      <c r="V49" s="546"/>
      <c r="W49" s="741"/>
      <c r="X49" s="546">
        <v>0</v>
      </c>
      <c r="Y49" s="741"/>
      <c r="Z49" s="546">
        <v>0</v>
      </c>
      <c r="AA49" s="741"/>
      <c r="AB49" s="546">
        <v>0</v>
      </c>
      <c r="AC49" s="741"/>
      <c r="AD49" s="546">
        <v>0</v>
      </c>
      <c r="AE49" s="741"/>
      <c r="AF49" s="546">
        <v>0</v>
      </c>
      <c r="AG49" s="741"/>
      <c r="AH49" s="546">
        <v>0</v>
      </c>
      <c r="AI49" s="741"/>
      <c r="AJ49" s="546">
        <v>0</v>
      </c>
      <c r="AK49" s="741"/>
      <c r="AL49" s="546">
        <v>0</v>
      </c>
      <c r="AM49" s="741"/>
      <c r="AN49" s="546">
        <v>0</v>
      </c>
      <c r="AO49" s="741"/>
      <c r="AP49" s="546">
        <v>0</v>
      </c>
      <c r="AQ49" s="741"/>
      <c r="AR49" s="546"/>
      <c r="AS49" s="741"/>
      <c r="AT49" s="546"/>
      <c r="AU49" s="741"/>
      <c r="AV49" s="546"/>
      <c r="AW49" s="741"/>
      <c r="AX49" s="546"/>
      <c r="AY49" s="983"/>
      <c r="AZ49" s="984"/>
      <c r="BA49" s="985"/>
      <c r="BB49" s="986"/>
      <c r="BC49" s="917"/>
      <c r="BD49" s="980"/>
      <c r="BE49" s="735" t="s">
        <v>372</v>
      </c>
      <c r="BF49" s="981"/>
      <c r="BG49" s="737"/>
      <c r="BH49" s="738">
        <v>0</v>
      </c>
      <c r="BI49" s="982"/>
      <c r="BJ49" s="740"/>
      <c r="BK49" s="546"/>
      <c r="BL49" s="741"/>
      <c r="BM49" s="546"/>
      <c r="BN49" s="741"/>
      <c r="BO49" s="546"/>
      <c r="BP49" s="741"/>
      <c r="BQ49" s="546"/>
      <c r="BR49" s="741"/>
      <c r="BS49" s="546"/>
      <c r="BT49" s="741"/>
      <c r="BU49" s="546"/>
      <c r="BV49" s="741"/>
      <c r="BW49" s="546"/>
      <c r="BX49" s="741"/>
      <c r="BY49" s="546"/>
      <c r="BZ49" s="741"/>
      <c r="CA49" s="546">
        <v>0</v>
      </c>
      <c r="CB49" s="741"/>
      <c r="CC49" s="546">
        <v>0</v>
      </c>
      <c r="CD49" s="741"/>
      <c r="CE49" s="546">
        <v>0</v>
      </c>
      <c r="CF49" s="741"/>
      <c r="CG49" s="546">
        <v>0</v>
      </c>
      <c r="CH49" s="741"/>
      <c r="CI49" s="546">
        <v>0</v>
      </c>
      <c r="CJ49" s="741"/>
      <c r="CK49" s="546">
        <v>0</v>
      </c>
      <c r="CL49" s="741"/>
      <c r="CM49" s="546">
        <v>0</v>
      </c>
      <c r="CN49" s="741"/>
      <c r="CO49" s="546">
        <v>0</v>
      </c>
      <c r="CP49" s="741"/>
      <c r="CQ49" s="546">
        <v>0</v>
      </c>
      <c r="CR49" s="741"/>
      <c r="CS49" s="546">
        <v>0</v>
      </c>
      <c r="CT49" s="741"/>
      <c r="CU49" s="546"/>
      <c r="CV49" s="741"/>
      <c r="CW49" s="546"/>
      <c r="CX49" s="741"/>
      <c r="CY49" s="546"/>
      <c r="CZ49" s="741"/>
      <c r="DA49" s="546"/>
      <c r="DB49" s="983"/>
      <c r="DC49" s="984"/>
      <c r="DD49" s="985"/>
      <c r="DE49" s="986"/>
      <c r="DF49" s="917"/>
      <c r="DG49" s="980"/>
      <c r="DH49" s="735" t="s">
        <v>372</v>
      </c>
      <c r="DI49" s="981"/>
      <c r="DJ49" s="737"/>
      <c r="DK49" s="738">
        <v>0</v>
      </c>
      <c r="DL49" s="982"/>
      <c r="DM49" s="740"/>
      <c r="DN49" s="546"/>
      <c r="DO49" s="741"/>
      <c r="DP49" s="546"/>
      <c r="DQ49" s="741"/>
      <c r="DR49" s="546"/>
      <c r="DS49" s="741"/>
      <c r="DT49" s="546"/>
      <c r="DU49" s="741"/>
      <c r="DV49" s="546"/>
      <c r="DW49" s="741"/>
      <c r="DX49" s="546"/>
      <c r="DY49" s="741"/>
      <c r="DZ49" s="546"/>
      <c r="EA49" s="741"/>
      <c r="EB49" s="546"/>
      <c r="EC49" s="741"/>
      <c r="ED49" s="546">
        <v>0</v>
      </c>
      <c r="EE49" s="741"/>
      <c r="EF49" s="546">
        <v>0</v>
      </c>
      <c r="EG49" s="741"/>
      <c r="EH49" s="546">
        <v>0</v>
      </c>
      <c r="EI49" s="741"/>
      <c r="EJ49" s="546">
        <v>0</v>
      </c>
      <c r="EK49" s="741"/>
      <c r="EL49" s="546">
        <v>0</v>
      </c>
      <c r="EM49" s="741"/>
      <c r="EN49" s="546">
        <v>0</v>
      </c>
      <c r="EO49" s="741"/>
      <c r="EP49" s="546">
        <v>0</v>
      </c>
      <c r="EQ49" s="741"/>
      <c r="ER49" s="546">
        <v>0</v>
      </c>
      <c r="ES49" s="741"/>
      <c r="ET49" s="546">
        <v>0</v>
      </c>
      <c r="EU49" s="741"/>
      <c r="EV49" s="546">
        <v>0</v>
      </c>
      <c r="EW49" s="741"/>
      <c r="EX49" s="546"/>
      <c r="EY49" s="741"/>
      <c r="EZ49" s="546"/>
      <c r="FA49" s="741"/>
      <c r="FB49" s="546"/>
      <c r="FC49" s="741"/>
      <c r="FD49" s="546"/>
      <c r="FE49" s="983"/>
      <c r="FF49" s="984"/>
      <c r="FG49" s="985"/>
      <c r="FH49" s="986"/>
      <c r="FI49" s="917"/>
      <c r="FJ49" s="980"/>
      <c r="FK49" s="735" t="s">
        <v>372</v>
      </c>
      <c r="FL49" s="981"/>
      <c r="FM49" s="742"/>
      <c r="FN49" s="738">
        <v>0</v>
      </c>
      <c r="FO49" s="982"/>
      <c r="FP49" s="668"/>
      <c r="FQ49" s="743"/>
      <c r="FR49" s="574">
        <v>0</v>
      </c>
      <c r="FS49" s="744"/>
      <c r="FT49" s="743"/>
      <c r="FU49" s="554">
        <v>0</v>
      </c>
      <c r="FV49" s="987" t="s">
        <v>304</v>
      </c>
      <c r="FW49" s="988"/>
      <c r="FX49" s="989" t="s">
        <v>305</v>
      </c>
      <c r="FY49" s="990"/>
      <c r="FZ49" s="991" t="s">
        <v>306</v>
      </c>
      <c r="GA49" s="992"/>
      <c r="GB49" s="993" t="s">
        <v>307</v>
      </c>
      <c r="GC49" s="994"/>
      <c r="GD49" s="993" t="s">
        <v>308</v>
      </c>
      <c r="GE49" s="995"/>
      <c r="GF49" s="671"/>
      <c r="GG49" s="589"/>
      <c r="GH49" s="589"/>
      <c r="GI49" s="589"/>
      <c r="GJ49" s="567"/>
      <c r="GK49" s="404" t="s">
        <v>479</v>
      </c>
      <c r="GL49" s="567"/>
      <c r="GM49" s="404"/>
      <c r="GN49" s="567"/>
      <c r="GO49" s="404"/>
      <c r="GP49" s="404"/>
      <c r="GQ49" s="404"/>
      <c r="GR49" s="567"/>
      <c r="GS49" s="517"/>
      <c r="GT49" s="840"/>
      <c r="GU49" s="517" t="s">
        <v>458</v>
      </c>
      <c r="GV49" s="602"/>
      <c r="GW49" s="517"/>
      <c r="GX49" s="602"/>
      <c r="GY49" s="517"/>
      <c r="GZ49" s="382"/>
      <c r="HA49" s="567"/>
      <c r="HB49" s="382"/>
      <c r="HC49" s="996"/>
      <c r="HD49" s="406"/>
    </row>
    <row r="50" spans="1:212" ht="20.100000000000001" customHeight="1">
      <c r="A50" s="980"/>
      <c r="B50" s="747" t="s">
        <v>379</v>
      </c>
      <c r="C50" s="997"/>
      <c r="D50" s="998">
        <v>0</v>
      </c>
      <c r="E50" s="999">
        <v>0</v>
      </c>
      <c r="F50" s="1000"/>
      <c r="G50" s="1001"/>
      <c r="H50" s="574">
        <v>0</v>
      </c>
      <c r="I50" s="1002"/>
      <c r="J50" s="574">
        <v>0</v>
      </c>
      <c r="K50" s="1002"/>
      <c r="L50" s="574">
        <v>0</v>
      </c>
      <c r="M50" s="1002"/>
      <c r="N50" s="574">
        <v>0</v>
      </c>
      <c r="O50" s="1002"/>
      <c r="P50" s="574">
        <v>0</v>
      </c>
      <c r="Q50" s="1002"/>
      <c r="R50" s="574">
        <v>0</v>
      </c>
      <c r="S50" s="1002"/>
      <c r="T50" s="574">
        <v>0</v>
      </c>
      <c r="U50" s="1002"/>
      <c r="V50" s="574">
        <v>0</v>
      </c>
      <c r="W50" s="1002"/>
      <c r="X50" s="574">
        <v>0</v>
      </c>
      <c r="Y50" s="1002"/>
      <c r="Z50" s="574">
        <v>0</v>
      </c>
      <c r="AA50" s="1002"/>
      <c r="AB50" s="574">
        <v>0</v>
      </c>
      <c r="AC50" s="1002"/>
      <c r="AD50" s="574">
        <v>0</v>
      </c>
      <c r="AE50" s="1002"/>
      <c r="AF50" s="574">
        <v>0</v>
      </c>
      <c r="AG50" s="1002"/>
      <c r="AH50" s="574">
        <v>0</v>
      </c>
      <c r="AI50" s="1002"/>
      <c r="AJ50" s="574">
        <v>0</v>
      </c>
      <c r="AK50" s="1002"/>
      <c r="AL50" s="574">
        <v>0</v>
      </c>
      <c r="AM50" s="1002"/>
      <c r="AN50" s="574">
        <v>0</v>
      </c>
      <c r="AO50" s="1002"/>
      <c r="AP50" s="574">
        <v>0</v>
      </c>
      <c r="AQ50" s="1002"/>
      <c r="AR50" s="574">
        <v>0</v>
      </c>
      <c r="AS50" s="1002"/>
      <c r="AT50" s="574">
        <v>0</v>
      </c>
      <c r="AU50" s="1002"/>
      <c r="AV50" s="574">
        <v>0</v>
      </c>
      <c r="AW50" s="1002"/>
      <c r="AX50" s="574">
        <v>0</v>
      </c>
      <c r="AY50" s="1003"/>
      <c r="AZ50" s="1004">
        <v>0</v>
      </c>
      <c r="BA50" s="1005"/>
      <c r="BB50" s="1006">
        <v>0</v>
      </c>
      <c r="BC50" s="917"/>
      <c r="BD50" s="980"/>
      <c r="BE50" s="747" t="s">
        <v>379</v>
      </c>
      <c r="BF50" s="997"/>
      <c r="BG50" s="998">
        <v>0</v>
      </c>
      <c r="BH50" s="999">
        <v>0</v>
      </c>
      <c r="BI50" s="1000"/>
      <c r="BJ50" s="1001"/>
      <c r="BK50" s="574">
        <v>0</v>
      </c>
      <c r="BL50" s="1002"/>
      <c r="BM50" s="574">
        <v>0</v>
      </c>
      <c r="BN50" s="1002"/>
      <c r="BO50" s="574">
        <v>0</v>
      </c>
      <c r="BP50" s="1002"/>
      <c r="BQ50" s="574">
        <v>0</v>
      </c>
      <c r="BR50" s="1002"/>
      <c r="BS50" s="574">
        <v>0</v>
      </c>
      <c r="BT50" s="1002"/>
      <c r="BU50" s="574">
        <v>0</v>
      </c>
      <c r="BV50" s="1002"/>
      <c r="BW50" s="574">
        <v>0</v>
      </c>
      <c r="BX50" s="1002"/>
      <c r="BY50" s="574">
        <v>0</v>
      </c>
      <c r="BZ50" s="1002"/>
      <c r="CA50" s="574">
        <v>0</v>
      </c>
      <c r="CB50" s="1002"/>
      <c r="CC50" s="574">
        <v>0</v>
      </c>
      <c r="CD50" s="1002"/>
      <c r="CE50" s="574">
        <v>0</v>
      </c>
      <c r="CF50" s="1002"/>
      <c r="CG50" s="574">
        <v>0</v>
      </c>
      <c r="CH50" s="1002"/>
      <c r="CI50" s="574">
        <v>0</v>
      </c>
      <c r="CJ50" s="1002"/>
      <c r="CK50" s="574">
        <v>0</v>
      </c>
      <c r="CL50" s="1002"/>
      <c r="CM50" s="574">
        <v>0</v>
      </c>
      <c r="CN50" s="1002"/>
      <c r="CO50" s="574">
        <v>0</v>
      </c>
      <c r="CP50" s="1002"/>
      <c r="CQ50" s="574">
        <v>0</v>
      </c>
      <c r="CR50" s="1002"/>
      <c r="CS50" s="574">
        <v>0</v>
      </c>
      <c r="CT50" s="1002"/>
      <c r="CU50" s="574">
        <v>0</v>
      </c>
      <c r="CV50" s="1002"/>
      <c r="CW50" s="574">
        <v>0</v>
      </c>
      <c r="CX50" s="1002"/>
      <c r="CY50" s="574">
        <v>0</v>
      </c>
      <c r="CZ50" s="1002"/>
      <c r="DA50" s="574">
        <v>0</v>
      </c>
      <c r="DB50" s="1003"/>
      <c r="DC50" s="1004">
        <v>0</v>
      </c>
      <c r="DD50" s="1005"/>
      <c r="DE50" s="1006">
        <v>0</v>
      </c>
      <c r="DF50" s="917"/>
      <c r="DG50" s="980"/>
      <c r="DH50" s="747" t="s">
        <v>379</v>
      </c>
      <c r="DI50" s="997"/>
      <c r="DJ50" s="998">
        <v>0</v>
      </c>
      <c r="DK50" s="999">
        <v>0</v>
      </c>
      <c r="DL50" s="1000"/>
      <c r="DM50" s="1001"/>
      <c r="DN50" s="574">
        <v>0</v>
      </c>
      <c r="DO50" s="1002"/>
      <c r="DP50" s="574">
        <v>0</v>
      </c>
      <c r="DQ50" s="1002"/>
      <c r="DR50" s="574">
        <v>0</v>
      </c>
      <c r="DS50" s="1002"/>
      <c r="DT50" s="574">
        <v>0</v>
      </c>
      <c r="DU50" s="1002"/>
      <c r="DV50" s="574">
        <v>0</v>
      </c>
      <c r="DW50" s="1002"/>
      <c r="DX50" s="574">
        <v>0</v>
      </c>
      <c r="DY50" s="1002"/>
      <c r="DZ50" s="574">
        <v>0</v>
      </c>
      <c r="EA50" s="1002"/>
      <c r="EB50" s="574">
        <v>0</v>
      </c>
      <c r="EC50" s="1002"/>
      <c r="ED50" s="574">
        <v>0</v>
      </c>
      <c r="EE50" s="1002"/>
      <c r="EF50" s="574">
        <v>0</v>
      </c>
      <c r="EG50" s="1002"/>
      <c r="EH50" s="574">
        <v>0</v>
      </c>
      <c r="EI50" s="1002"/>
      <c r="EJ50" s="574">
        <v>0</v>
      </c>
      <c r="EK50" s="1002"/>
      <c r="EL50" s="574">
        <v>0</v>
      </c>
      <c r="EM50" s="1002"/>
      <c r="EN50" s="574">
        <v>0</v>
      </c>
      <c r="EO50" s="1002"/>
      <c r="EP50" s="574">
        <v>0</v>
      </c>
      <c r="EQ50" s="1002"/>
      <c r="ER50" s="574">
        <v>0</v>
      </c>
      <c r="ES50" s="1002"/>
      <c r="ET50" s="574">
        <v>0</v>
      </c>
      <c r="EU50" s="1002"/>
      <c r="EV50" s="574">
        <v>0</v>
      </c>
      <c r="EW50" s="1002"/>
      <c r="EX50" s="574">
        <v>0</v>
      </c>
      <c r="EY50" s="1002"/>
      <c r="EZ50" s="574">
        <v>0</v>
      </c>
      <c r="FA50" s="1002"/>
      <c r="FB50" s="574">
        <v>0</v>
      </c>
      <c r="FC50" s="1002"/>
      <c r="FD50" s="574">
        <v>0</v>
      </c>
      <c r="FE50" s="1003"/>
      <c r="FF50" s="1004">
        <v>0</v>
      </c>
      <c r="FG50" s="1005"/>
      <c r="FH50" s="1006">
        <v>0</v>
      </c>
      <c r="FI50" s="917"/>
      <c r="FJ50" s="980"/>
      <c r="FK50" s="747" t="s">
        <v>379</v>
      </c>
      <c r="FL50" s="997"/>
      <c r="FM50" s="998">
        <v>0</v>
      </c>
      <c r="FN50" s="999">
        <v>0</v>
      </c>
      <c r="FO50" s="1000"/>
      <c r="FP50" s="679"/>
      <c r="FQ50" s="1007"/>
      <c r="FR50" s="574">
        <v>0</v>
      </c>
      <c r="FS50" s="756"/>
      <c r="FT50" s="1007"/>
      <c r="FU50" s="579">
        <v>0</v>
      </c>
      <c r="FV50" s="1008"/>
      <c r="FW50" s="1009"/>
      <c r="FX50" s="1010"/>
      <c r="FY50" s="1011"/>
      <c r="FZ50" s="1012"/>
      <c r="GA50" s="1013"/>
      <c r="GB50" s="1014"/>
      <c r="GC50" s="1015"/>
      <c r="GD50" s="1014"/>
      <c r="GE50" s="1016"/>
      <c r="GF50" s="671"/>
      <c r="GG50" s="589"/>
      <c r="GH50" s="589"/>
      <c r="GI50" s="589"/>
      <c r="GJ50" s="567"/>
      <c r="GK50" s="404" t="s">
        <v>480</v>
      </c>
      <c r="GL50" s="567"/>
      <c r="GM50" s="404"/>
      <c r="GN50" s="567"/>
      <c r="GO50" s="404"/>
      <c r="GP50" s="404"/>
      <c r="GQ50" s="404"/>
      <c r="GR50" s="567"/>
      <c r="GS50" s="932"/>
      <c r="GT50" s="916"/>
      <c r="GU50" s="567" t="s">
        <v>709</v>
      </c>
      <c r="GV50" s="567"/>
      <c r="GW50" s="567"/>
      <c r="GX50" s="567"/>
      <c r="GY50" s="602"/>
      <c r="GZ50" s="566"/>
      <c r="HA50" s="602">
        <v>10.1</v>
      </c>
      <c r="HB50" s="566" t="s">
        <v>440</v>
      </c>
      <c r="HC50" s="1017"/>
      <c r="HD50" s="406"/>
    </row>
    <row r="51" spans="1:212" ht="20.100000000000001" customHeight="1" thickBot="1">
      <c r="A51" s="1018"/>
      <c r="B51" s="453" t="s">
        <v>406</v>
      </c>
      <c r="C51" s="1019"/>
      <c r="D51" s="768"/>
      <c r="E51" s="779"/>
      <c r="F51" s="1020"/>
      <c r="G51" s="781"/>
      <c r="H51" s="782">
        <v>0</v>
      </c>
      <c r="I51" s="783"/>
      <c r="J51" s="782">
        <v>0</v>
      </c>
      <c r="K51" s="783"/>
      <c r="L51" s="782">
        <v>0</v>
      </c>
      <c r="M51" s="783"/>
      <c r="N51" s="782">
        <v>0</v>
      </c>
      <c r="O51" s="783"/>
      <c r="P51" s="782">
        <v>0</v>
      </c>
      <c r="Q51" s="783"/>
      <c r="R51" s="782">
        <v>0</v>
      </c>
      <c r="S51" s="783"/>
      <c r="T51" s="782">
        <v>0</v>
      </c>
      <c r="U51" s="783"/>
      <c r="V51" s="782">
        <v>0</v>
      </c>
      <c r="W51" s="783"/>
      <c r="X51" s="782">
        <v>0</v>
      </c>
      <c r="Y51" s="783"/>
      <c r="Z51" s="782">
        <v>0</v>
      </c>
      <c r="AA51" s="783"/>
      <c r="AB51" s="782">
        <v>0</v>
      </c>
      <c r="AC51" s="783"/>
      <c r="AD51" s="782">
        <v>0</v>
      </c>
      <c r="AE51" s="783"/>
      <c r="AF51" s="782">
        <v>0</v>
      </c>
      <c r="AG51" s="783"/>
      <c r="AH51" s="782">
        <v>0</v>
      </c>
      <c r="AI51" s="783"/>
      <c r="AJ51" s="782">
        <v>0</v>
      </c>
      <c r="AK51" s="783"/>
      <c r="AL51" s="782">
        <v>0</v>
      </c>
      <c r="AM51" s="783"/>
      <c r="AN51" s="782">
        <v>0</v>
      </c>
      <c r="AO51" s="783"/>
      <c r="AP51" s="782">
        <v>0</v>
      </c>
      <c r="AQ51" s="783"/>
      <c r="AR51" s="782">
        <v>0</v>
      </c>
      <c r="AS51" s="783"/>
      <c r="AT51" s="782">
        <v>0</v>
      </c>
      <c r="AU51" s="783"/>
      <c r="AV51" s="782">
        <v>0</v>
      </c>
      <c r="AW51" s="783"/>
      <c r="AX51" s="782">
        <v>0</v>
      </c>
      <c r="AY51" s="1021"/>
      <c r="AZ51" s="1022">
        <v>0</v>
      </c>
      <c r="BA51" s="1023"/>
      <c r="BB51" s="1024">
        <v>0</v>
      </c>
      <c r="BC51" s="917"/>
      <c r="BD51" s="1018"/>
      <c r="BE51" s="453" t="s">
        <v>406</v>
      </c>
      <c r="BF51" s="1019"/>
      <c r="BG51" s="768"/>
      <c r="BH51" s="779"/>
      <c r="BI51" s="1020"/>
      <c r="BJ51" s="781"/>
      <c r="BK51" s="782">
        <v>0</v>
      </c>
      <c r="BL51" s="783"/>
      <c r="BM51" s="782">
        <v>0</v>
      </c>
      <c r="BN51" s="783"/>
      <c r="BO51" s="782">
        <v>0</v>
      </c>
      <c r="BP51" s="783"/>
      <c r="BQ51" s="782">
        <v>0</v>
      </c>
      <c r="BR51" s="783"/>
      <c r="BS51" s="782">
        <v>0</v>
      </c>
      <c r="BT51" s="783"/>
      <c r="BU51" s="782">
        <v>0</v>
      </c>
      <c r="BV51" s="783"/>
      <c r="BW51" s="782">
        <v>0</v>
      </c>
      <c r="BX51" s="783"/>
      <c r="BY51" s="782">
        <v>0</v>
      </c>
      <c r="BZ51" s="783"/>
      <c r="CA51" s="782">
        <v>0</v>
      </c>
      <c r="CB51" s="783"/>
      <c r="CC51" s="782">
        <v>0</v>
      </c>
      <c r="CD51" s="783"/>
      <c r="CE51" s="782">
        <v>0</v>
      </c>
      <c r="CF51" s="783"/>
      <c r="CG51" s="782">
        <v>0</v>
      </c>
      <c r="CH51" s="783"/>
      <c r="CI51" s="782">
        <v>0</v>
      </c>
      <c r="CJ51" s="783"/>
      <c r="CK51" s="782">
        <v>0</v>
      </c>
      <c r="CL51" s="783"/>
      <c r="CM51" s="782">
        <v>0</v>
      </c>
      <c r="CN51" s="783"/>
      <c r="CO51" s="782">
        <v>0</v>
      </c>
      <c r="CP51" s="783"/>
      <c r="CQ51" s="782">
        <v>0</v>
      </c>
      <c r="CR51" s="783"/>
      <c r="CS51" s="782">
        <v>0</v>
      </c>
      <c r="CT51" s="783"/>
      <c r="CU51" s="782">
        <v>0</v>
      </c>
      <c r="CV51" s="783"/>
      <c r="CW51" s="782">
        <v>0</v>
      </c>
      <c r="CX51" s="783"/>
      <c r="CY51" s="782">
        <v>0</v>
      </c>
      <c r="CZ51" s="783"/>
      <c r="DA51" s="782">
        <v>0</v>
      </c>
      <c r="DB51" s="1021"/>
      <c r="DC51" s="1022">
        <v>0</v>
      </c>
      <c r="DD51" s="1023"/>
      <c r="DE51" s="1024">
        <v>0</v>
      </c>
      <c r="DF51" s="917"/>
      <c r="DG51" s="1018"/>
      <c r="DH51" s="453" t="s">
        <v>406</v>
      </c>
      <c r="DI51" s="1019"/>
      <c r="DJ51" s="768"/>
      <c r="DK51" s="779"/>
      <c r="DL51" s="1020"/>
      <c r="DM51" s="781"/>
      <c r="DN51" s="782">
        <v>0</v>
      </c>
      <c r="DO51" s="783"/>
      <c r="DP51" s="782">
        <v>0</v>
      </c>
      <c r="DQ51" s="783"/>
      <c r="DR51" s="782">
        <v>0</v>
      </c>
      <c r="DS51" s="783"/>
      <c r="DT51" s="782">
        <v>0</v>
      </c>
      <c r="DU51" s="783"/>
      <c r="DV51" s="782">
        <v>0</v>
      </c>
      <c r="DW51" s="783"/>
      <c r="DX51" s="782">
        <v>0</v>
      </c>
      <c r="DY51" s="783"/>
      <c r="DZ51" s="782">
        <v>0</v>
      </c>
      <c r="EA51" s="783"/>
      <c r="EB51" s="782">
        <v>0</v>
      </c>
      <c r="EC51" s="783"/>
      <c r="ED51" s="782">
        <v>0</v>
      </c>
      <c r="EE51" s="783"/>
      <c r="EF51" s="782">
        <v>0</v>
      </c>
      <c r="EG51" s="783"/>
      <c r="EH51" s="782">
        <v>0</v>
      </c>
      <c r="EI51" s="783"/>
      <c r="EJ51" s="782">
        <v>0</v>
      </c>
      <c r="EK51" s="783"/>
      <c r="EL51" s="782">
        <v>0</v>
      </c>
      <c r="EM51" s="783"/>
      <c r="EN51" s="782">
        <v>0</v>
      </c>
      <c r="EO51" s="783"/>
      <c r="EP51" s="782">
        <v>0</v>
      </c>
      <c r="EQ51" s="783"/>
      <c r="ER51" s="782">
        <v>0</v>
      </c>
      <c r="ES51" s="783"/>
      <c r="ET51" s="782">
        <v>0</v>
      </c>
      <c r="EU51" s="783"/>
      <c r="EV51" s="782">
        <v>0</v>
      </c>
      <c r="EW51" s="783"/>
      <c r="EX51" s="782">
        <v>0</v>
      </c>
      <c r="EY51" s="783"/>
      <c r="EZ51" s="782">
        <v>0</v>
      </c>
      <c r="FA51" s="783"/>
      <c r="FB51" s="782">
        <v>0</v>
      </c>
      <c r="FC51" s="783"/>
      <c r="FD51" s="782">
        <v>0</v>
      </c>
      <c r="FE51" s="1021"/>
      <c r="FF51" s="1022">
        <v>0</v>
      </c>
      <c r="FG51" s="1023"/>
      <c r="FH51" s="1024">
        <v>0</v>
      </c>
      <c r="FI51" s="917"/>
      <c r="FJ51" s="1018"/>
      <c r="FK51" s="453" t="s">
        <v>406</v>
      </c>
      <c r="FL51" s="1019"/>
      <c r="FM51" s="771"/>
      <c r="FN51" s="779">
        <v>0</v>
      </c>
      <c r="FO51" s="1020"/>
      <c r="FP51" s="785"/>
      <c r="FQ51" s="786"/>
      <c r="FR51" s="782">
        <v>0</v>
      </c>
      <c r="FS51" s="787"/>
      <c r="FT51" s="786"/>
      <c r="FU51" s="788">
        <v>0</v>
      </c>
      <c r="FV51" s="1008"/>
      <c r="FW51" s="1009"/>
      <c r="FX51" s="1010"/>
      <c r="FY51" s="1011"/>
      <c r="FZ51" s="1012"/>
      <c r="GA51" s="1013"/>
      <c r="GB51" s="1014"/>
      <c r="GC51" s="1015"/>
      <c r="GD51" s="1014"/>
      <c r="GE51" s="1016"/>
      <c r="GF51" s="671"/>
      <c r="GG51" s="589"/>
      <c r="GH51" s="589"/>
      <c r="GI51" s="589"/>
      <c r="GJ51" s="915"/>
      <c r="GK51" s="716"/>
      <c r="GL51" s="1025" t="s">
        <v>370</v>
      </c>
      <c r="GM51" s="1026" t="s">
        <v>482</v>
      </c>
      <c r="GN51" s="1027" t="s">
        <v>483</v>
      </c>
      <c r="GO51" s="1028" t="s">
        <v>484</v>
      </c>
      <c r="GP51" s="1028" t="s">
        <v>464</v>
      </c>
      <c r="GQ51" s="1029" t="s">
        <v>465</v>
      </c>
      <c r="GR51" s="716"/>
      <c r="GS51" s="932"/>
      <c r="GT51" s="746"/>
      <c r="GU51" s="567" t="s">
        <v>485</v>
      </c>
      <c r="GV51" s="567"/>
      <c r="GW51" s="567"/>
      <c r="GX51" s="567"/>
      <c r="GY51" s="404"/>
      <c r="GZ51" s="1030"/>
      <c r="HA51" s="602">
        <v>10.1</v>
      </c>
      <c r="HB51" s="566" t="s">
        <v>440</v>
      </c>
      <c r="HC51" s="1031"/>
      <c r="HD51" s="406"/>
    </row>
    <row r="52" spans="1:212" ht="20.100000000000001" customHeight="1" thickBot="1">
      <c r="A52" s="1032" t="s">
        <v>407</v>
      </c>
      <c r="B52" s="1033"/>
      <c r="C52" s="1034"/>
      <c r="D52" s="1034"/>
      <c r="E52" s="1035"/>
      <c r="F52" s="1034"/>
      <c r="G52" s="1036"/>
      <c r="H52" s="1037">
        <v>0</v>
      </c>
      <c r="I52" s="1038"/>
      <c r="J52" s="1037">
        <v>0</v>
      </c>
      <c r="K52" s="1038"/>
      <c r="L52" s="1037">
        <v>0</v>
      </c>
      <c r="M52" s="1038"/>
      <c r="N52" s="1037">
        <v>0</v>
      </c>
      <c r="O52" s="1038"/>
      <c r="P52" s="1037">
        <v>0</v>
      </c>
      <c r="Q52" s="1038"/>
      <c r="R52" s="1037">
        <v>0</v>
      </c>
      <c r="S52" s="1038"/>
      <c r="T52" s="1037">
        <v>0</v>
      </c>
      <c r="U52" s="1038"/>
      <c r="V52" s="1037">
        <v>0</v>
      </c>
      <c r="W52" s="1038"/>
      <c r="X52" s="1037">
        <v>0</v>
      </c>
      <c r="Y52" s="1038"/>
      <c r="Z52" s="1037">
        <v>0</v>
      </c>
      <c r="AA52" s="1038"/>
      <c r="AB52" s="1037">
        <v>0</v>
      </c>
      <c r="AC52" s="1038"/>
      <c r="AD52" s="1037">
        <v>0</v>
      </c>
      <c r="AE52" s="1038"/>
      <c r="AF52" s="1037">
        <v>0</v>
      </c>
      <c r="AG52" s="1038"/>
      <c r="AH52" s="1037">
        <v>0</v>
      </c>
      <c r="AI52" s="1038"/>
      <c r="AJ52" s="1037">
        <v>0</v>
      </c>
      <c r="AK52" s="1038"/>
      <c r="AL52" s="1037">
        <v>0</v>
      </c>
      <c r="AM52" s="1038"/>
      <c r="AN52" s="1037">
        <v>0</v>
      </c>
      <c r="AO52" s="1038"/>
      <c r="AP52" s="1037">
        <v>0</v>
      </c>
      <c r="AQ52" s="1038"/>
      <c r="AR52" s="1037">
        <v>0</v>
      </c>
      <c r="AS52" s="1038"/>
      <c r="AT52" s="1037">
        <v>0</v>
      </c>
      <c r="AU52" s="1038"/>
      <c r="AV52" s="1037">
        <v>0</v>
      </c>
      <c r="AW52" s="1038"/>
      <c r="AX52" s="1037">
        <v>0</v>
      </c>
      <c r="AY52" s="1039"/>
      <c r="AZ52" s="1040">
        <v>0</v>
      </c>
      <c r="BA52" s="1041"/>
      <c r="BB52" s="1042">
        <v>0</v>
      </c>
      <c r="BC52" s="960"/>
      <c r="BD52" s="1032" t="s">
        <v>407</v>
      </c>
      <c r="BE52" s="1033"/>
      <c r="BF52" s="1034"/>
      <c r="BG52" s="1034"/>
      <c r="BH52" s="1035"/>
      <c r="BI52" s="1034"/>
      <c r="BJ52" s="1036"/>
      <c r="BK52" s="1037">
        <v>0</v>
      </c>
      <c r="BL52" s="1038"/>
      <c r="BM52" s="1037">
        <v>0</v>
      </c>
      <c r="BN52" s="1038"/>
      <c r="BO52" s="1037">
        <v>0</v>
      </c>
      <c r="BP52" s="1038"/>
      <c r="BQ52" s="1037">
        <v>0</v>
      </c>
      <c r="BR52" s="1038"/>
      <c r="BS52" s="1037">
        <v>0</v>
      </c>
      <c r="BT52" s="1038"/>
      <c r="BU52" s="1037">
        <v>0</v>
      </c>
      <c r="BV52" s="1038"/>
      <c r="BW52" s="1037">
        <v>0</v>
      </c>
      <c r="BX52" s="1038"/>
      <c r="BY52" s="1037">
        <v>0</v>
      </c>
      <c r="BZ52" s="1038"/>
      <c r="CA52" s="1037">
        <v>0</v>
      </c>
      <c r="CB52" s="1038"/>
      <c r="CC52" s="1037">
        <v>0</v>
      </c>
      <c r="CD52" s="1038"/>
      <c r="CE52" s="1037">
        <v>0</v>
      </c>
      <c r="CF52" s="1038"/>
      <c r="CG52" s="1037">
        <v>0</v>
      </c>
      <c r="CH52" s="1038"/>
      <c r="CI52" s="1037">
        <v>0</v>
      </c>
      <c r="CJ52" s="1038"/>
      <c r="CK52" s="1037">
        <v>0</v>
      </c>
      <c r="CL52" s="1038"/>
      <c r="CM52" s="1037">
        <v>0</v>
      </c>
      <c r="CN52" s="1038"/>
      <c r="CO52" s="1037">
        <v>0</v>
      </c>
      <c r="CP52" s="1038"/>
      <c r="CQ52" s="1037">
        <v>0</v>
      </c>
      <c r="CR52" s="1038"/>
      <c r="CS52" s="1037">
        <v>0</v>
      </c>
      <c r="CT52" s="1038"/>
      <c r="CU52" s="1037">
        <v>0</v>
      </c>
      <c r="CV52" s="1038"/>
      <c r="CW52" s="1037">
        <v>0</v>
      </c>
      <c r="CX52" s="1038"/>
      <c r="CY52" s="1037">
        <v>0</v>
      </c>
      <c r="CZ52" s="1038"/>
      <c r="DA52" s="1037">
        <v>0</v>
      </c>
      <c r="DB52" s="1039"/>
      <c r="DC52" s="1040">
        <v>0</v>
      </c>
      <c r="DD52" s="1041"/>
      <c r="DE52" s="1042">
        <v>0</v>
      </c>
      <c r="DF52" s="960"/>
      <c r="DG52" s="1032" t="s">
        <v>407</v>
      </c>
      <c r="DH52" s="1033"/>
      <c r="DI52" s="1034"/>
      <c r="DJ52" s="1034"/>
      <c r="DK52" s="1035"/>
      <c r="DL52" s="1034"/>
      <c r="DM52" s="1036"/>
      <c r="DN52" s="1037">
        <v>0</v>
      </c>
      <c r="DO52" s="1038"/>
      <c r="DP52" s="1037">
        <v>0</v>
      </c>
      <c r="DQ52" s="1038"/>
      <c r="DR52" s="1037">
        <v>0</v>
      </c>
      <c r="DS52" s="1038"/>
      <c r="DT52" s="1037">
        <v>0</v>
      </c>
      <c r="DU52" s="1038"/>
      <c r="DV52" s="1037">
        <v>0</v>
      </c>
      <c r="DW52" s="1038"/>
      <c r="DX52" s="1037">
        <v>0</v>
      </c>
      <c r="DY52" s="1038"/>
      <c r="DZ52" s="1037">
        <v>0</v>
      </c>
      <c r="EA52" s="1038"/>
      <c r="EB52" s="1037">
        <v>0</v>
      </c>
      <c r="EC52" s="1038"/>
      <c r="ED52" s="1037">
        <v>0</v>
      </c>
      <c r="EE52" s="1038"/>
      <c r="EF52" s="1037">
        <v>0</v>
      </c>
      <c r="EG52" s="1038"/>
      <c r="EH52" s="1037">
        <v>0</v>
      </c>
      <c r="EI52" s="1038"/>
      <c r="EJ52" s="1037">
        <v>0</v>
      </c>
      <c r="EK52" s="1038"/>
      <c r="EL52" s="1037">
        <v>0</v>
      </c>
      <c r="EM52" s="1038"/>
      <c r="EN52" s="1037">
        <v>0</v>
      </c>
      <c r="EO52" s="1038"/>
      <c r="EP52" s="1037">
        <v>0</v>
      </c>
      <c r="EQ52" s="1038"/>
      <c r="ER52" s="1037">
        <v>0</v>
      </c>
      <c r="ES52" s="1038"/>
      <c r="ET52" s="1037">
        <v>0</v>
      </c>
      <c r="EU52" s="1038"/>
      <c r="EV52" s="1037">
        <v>0</v>
      </c>
      <c r="EW52" s="1038"/>
      <c r="EX52" s="1037">
        <v>0</v>
      </c>
      <c r="EY52" s="1038"/>
      <c r="EZ52" s="1037">
        <v>0</v>
      </c>
      <c r="FA52" s="1038"/>
      <c r="FB52" s="1037">
        <v>0</v>
      </c>
      <c r="FC52" s="1038"/>
      <c r="FD52" s="1037">
        <v>0</v>
      </c>
      <c r="FE52" s="1039"/>
      <c r="FF52" s="1040">
        <v>0</v>
      </c>
      <c r="FG52" s="1041"/>
      <c r="FH52" s="1042">
        <v>0</v>
      </c>
      <c r="FI52" s="960"/>
      <c r="FJ52" s="1032" t="s">
        <v>407</v>
      </c>
      <c r="FK52" s="1033"/>
      <c r="FL52" s="1034"/>
      <c r="FM52" s="1034"/>
      <c r="FN52" s="1035"/>
      <c r="FO52" s="1034"/>
      <c r="FP52" s="1043"/>
      <c r="FQ52" s="1044"/>
      <c r="FR52" s="1037">
        <v>0</v>
      </c>
      <c r="FS52" s="1045"/>
      <c r="FT52" s="1044"/>
      <c r="FU52" s="1046">
        <v>0</v>
      </c>
      <c r="FV52" s="1047">
        <v>13</v>
      </c>
      <c r="FW52" s="1048">
        <v>0</v>
      </c>
      <c r="FX52" s="1049">
        <v>13</v>
      </c>
      <c r="FY52" s="1048">
        <v>0</v>
      </c>
      <c r="FZ52" s="1049">
        <v>12</v>
      </c>
      <c r="GA52" s="1048">
        <v>0</v>
      </c>
      <c r="GB52" s="1050" t="s">
        <v>542</v>
      </c>
      <c r="GC52" s="1051">
        <v>0</v>
      </c>
      <c r="GD52" s="1050" t="s">
        <v>332</v>
      </c>
      <c r="GE52" s="1052">
        <v>0</v>
      </c>
      <c r="GF52" s="671"/>
      <c r="GG52" s="969"/>
      <c r="GH52" s="969"/>
      <c r="GI52" s="969"/>
      <c r="GJ52" s="915"/>
      <c r="GK52" s="716"/>
      <c r="GL52" s="1053"/>
      <c r="GM52" s="1054"/>
      <c r="GN52" s="1054"/>
      <c r="GO52" s="1055"/>
      <c r="GP52" s="1055"/>
      <c r="GQ52" s="1056"/>
      <c r="GR52" s="932"/>
      <c r="GS52" s="872"/>
      <c r="GT52" s="840"/>
      <c r="GU52" s="517" t="s">
        <v>460</v>
      </c>
      <c r="GV52" s="716"/>
      <c r="GW52" s="915"/>
      <c r="GX52" s="716"/>
      <c r="GY52" s="404"/>
      <c r="GZ52" s="1057"/>
      <c r="HA52" s="932"/>
      <c r="HB52" s="1057"/>
      <c r="HC52" s="549"/>
      <c r="HD52" s="406"/>
    </row>
    <row r="53" spans="1:212" ht="20.100000000000001" customHeight="1" thickTop="1">
      <c r="A53" s="1058" t="s">
        <v>408</v>
      </c>
      <c r="B53" s="1059"/>
      <c r="C53" s="1060"/>
      <c r="D53" s="1060"/>
      <c r="E53" s="1061"/>
      <c r="F53" s="1062"/>
      <c r="G53" s="1063"/>
      <c r="H53" s="1064">
        <v>0</v>
      </c>
      <c r="I53" s="1065"/>
      <c r="J53" s="1064">
        <v>0</v>
      </c>
      <c r="K53" s="1065"/>
      <c r="L53" s="1064">
        <v>0</v>
      </c>
      <c r="M53" s="1065"/>
      <c r="N53" s="1064">
        <v>0</v>
      </c>
      <c r="O53" s="1065"/>
      <c r="P53" s="1064">
        <v>0</v>
      </c>
      <c r="Q53" s="1065"/>
      <c r="R53" s="1064">
        <v>0</v>
      </c>
      <c r="S53" s="1065"/>
      <c r="T53" s="1064">
        <v>0</v>
      </c>
      <c r="U53" s="1065"/>
      <c r="V53" s="1064">
        <v>0</v>
      </c>
      <c r="W53" s="1065"/>
      <c r="X53" s="1064">
        <v>3425</v>
      </c>
      <c r="Y53" s="1065"/>
      <c r="Z53" s="1064">
        <v>3380</v>
      </c>
      <c r="AA53" s="1065"/>
      <c r="AB53" s="1064">
        <v>3431</v>
      </c>
      <c r="AC53" s="1065"/>
      <c r="AD53" s="1064">
        <v>3440</v>
      </c>
      <c r="AE53" s="1065"/>
      <c r="AF53" s="1064">
        <v>3449</v>
      </c>
      <c r="AG53" s="1065"/>
      <c r="AH53" s="1064">
        <v>3438</v>
      </c>
      <c r="AI53" s="1065"/>
      <c r="AJ53" s="1064">
        <v>3388</v>
      </c>
      <c r="AK53" s="1065"/>
      <c r="AL53" s="1064">
        <v>3359</v>
      </c>
      <c r="AM53" s="1065"/>
      <c r="AN53" s="1064">
        <v>3284</v>
      </c>
      <c r="AO53" s="1065"/>
      <c r="AP53" s="1064">
        <v>3237</v>
      </c>
      <c r="AQ53" s="1065"/>
      <c r="AR53" s="1064">
        <v>0</v>
      </c>
      <c r="AS53" s="1065"/>
      <c r="AT53" s="1064">
        <v>0</v>
      </c>
      <c r="AU53" s="1065"/>
      <c r="AV53" s="1064">
        <v>0</v>
      </c>
      <c r="AW53" s="1065"/>
      <c r="AX53" s="1064">
        <v>0</v>
      </c>
      <c r="AY53" s="1066"/>
      <c r="AZ53" s="1067">
        <v>0</v>
      </c>
      <c r="BA53" s="1068"/>
      <c r="BB53" s="1069">
        <v>0</v>
      </c>
      <c r="BC53" s="960"/>
      <c r="BD53" s="1058" t="s">
        <v>408</v>
      </c>
      <c r="BE53" s="1059"/>
      <c r="BF53" s="1060"/>
      <c r="BG53" s="1060"/>
      <c r="BH53" s="1061"/>
      <c r="BI53" s="1062"/>
      <c r="BJ53" s="1063"/>
      <c r="BK53" s="1064">
        <v>0</v>
      </c>
      <c r="BL53" s="1065"/>
      <c r="BM53" s="1064">
        <v>0</v>
      </c>
      <c r="BN53" s="1065"/>
      <c r="BO53" s="1064">
        <v>0</v>
      </c>
      <c r="BP53" s="1065"/>
      <c r="BQ53" s="1064">
        <v>0</v>
      </c>
      <c r="BR53" s="1065"/>
      <c r="BS53" s="1064">
        <v>0</v>
      </c>
      <c r="BT53" s="1065"/>
      <c r="BU53" s="1064">
        <v>0</v>
      </c>
      <c r="BV53" s="1065"/>
      <c r="BW53" s="1064">
        <v>0</v>
      </c>
      <c r="BX53" s="1065"/>
      <c r="BY53" s="1064">
        <v>0</v>
      </c>
      <c r="BZ53" s="1065"/>
      <c r="CA53" s="1064">
        <v>3404</v>
      </c>
      <c r="CB53" s="1065"/>
      <c r="CC53" s="1064">
        <v>3359</v>
      </c>
      <c r="CD53" s="1065"/>
      <c r="CE53" s="1064">
        <v>3410</v>
      </c>
      <c r="CF53" s="1065"/>
      <c r="CG53" s="1064">
        <v>3419</v>
      </c>
      <c r="CH53" s="1065"/>
      <c r="CI53" s="1064">
        <v>3428</v>
      </c>
      <c r="CJ53" s="1065"/>
      <c r="CK53" s="1064">
        <v>3396</v>
      </c>
      <c r="CL53" s="1065"/>
      <c r="CM53" s="1064">
        <v>3367</v>
      </c>
      <c r="CN53" s="1065"/>
      <c r="CO53" s="1064">
        <v>3317</v>
      </c>
      <c r="CP53" s="1065"/>
      <c r="CQ53" s="1064">
        <v>3284</v>
      </c>
      <c r="CR53" s="1065"/>
      <c r="CS53" s="1064">
        <v>3216</v>
      </c>
      <c r="CT53" s="1065"/>
      <c r="CU53" s="1064">
        <v>0</v>
      </c>
      <c r="CV53" s="1065"/>
      <c r="CW53" s="1064">
        <v>0</v>
      </c>
      <c r="CX53" s="1065"/>
      <c r="CY53" s="1064">
        <v>0</v>
      </c>
      <c r="CZ53" s="1065"/>
      <c r="DA53" s="1064">
        <v>0</v>
      </c>
      <c r="DB53" s="1066"/>
      <c r="DC53" s="1067">
        <v>0</v>
      </c>
      <c r="DD53" s="1068"/>
      <c r="DE53" s="1069">
        <v>0</v>
      </c>
      <c r="DF53" s="960"/>
      <c r="DG53" s="1058" t="s">
        <v>408</v>
      </c>
      <c r="DH53" s="1059"/>
      <c r="DI53" s="1060"/>
      <c r="DJ53" s="1060"/>
      <c r="DK53" s="1061"/>
      <c r="DL53" s="1062"/>
      <c r="DM53" s="1063"/>
      <c r="DN53" s="1064">
        <v>0</v>
      </c>
      <c r="DO53" s="1065"/>
      <c r="DP53" s="1064">
        <v>0</v>
      </c>
      <c r="DQ53" s="1065"/>
      <c r="DR53" s="1064">
        <v>0</v>
      </c>
      <c r="DS53" s="1065"/>
      <c r="DT53" s="1064">
        <v>0</v>
      </c>
      <c r="DU53" s="1065"/>
      <c r="DV53" s="1064">
        <v>0</v>
      </c>
      <c r="DW53" s="1065"/>
      <c r="DX53" s="1064">
        <v>0</v>
      </c>
      <c r="DY53" s="1065"/>
      <c r="DZ53" s="1064">
        <v>0</v>
      </c>
      <c r="EA53" s="1065"/>
      <c r="EB53" s="1064">
        <v>0</v>
      </c>
      <c r="EC53" s="1065"/>
      <c r="ED53" s="1064">
        <v>3257</v>
      </c>
      <c r="EE53" s="1065"/>
      <c r="EF53" s="1064">
        <v>3232</v>
      </c>
      <c r="EG53" s="1065"/>
      <c r="EH53" s="1064">
        <v>3283</v>
      </c>
      <c r="EI53" s="1065"/>
      <c r="EJ53" s="1064">
        <v>3313</v>
      </c>
      <c r="EK53" s="1065"/>
      <c r="EL53" s="1064">
        <v>3301</v>
      </c>
      <c r="EM53" s="1065"/>
      <c r="EN53" s="1064">
        <v>3269</v>
      </c>
      <c r="EO53" s="1065"/>
      <c r="EP53" s="1064">
        <v>3240</v>
      </c>
      <c r="EQ53" s="1065"/>
      <c r="ER53" s="1064">
        <v>3211</v>
      </c>
      <c r="ES53" s="1065"/>
      <c r="ET53" s="1064">
        <v>3136</v>
      </c>
      <c r="EU53" s="1065"/>
      <c r="EV53" s="1064">
        <v>3069</v>
      </c>
      <c r="EW53" s="1065"/>
      <c r="EX53" s="1064">
        <v>0</v>
      </c>
      <c r="EY53" s="1065"/>
      <c r="EZ53" s="1064">
        <v>0</v>
      </c>
      <c r="FA53" s="1065"/>
      <c r="FB53" s="1064">
        <v>0</v>
      </c>
      <c r="FC53" s="1065"/>
      <c r="FD53" s="1064">
        <v>0</v>
      </c>
      <c r="FE53" s="1066"/>
      <c r="FF53" s="1067">
        <v>0</v>
      </c>
      <c r="FG53" s="1068"/>
      <c r="FH53" s="1069">
        <v>0</v>
      </c>
      <c r="FI53" s="960"/>
      <c r="FJ53" s="1058" t="s">
        <v>408</v>
      </c>
      <c r="FK53" s="1059"/>
      <c r="FL53" s="1060"/>
      <c r="FM53" s="1060"/>
      <c r="FN53" s="1061"/>
      <c r="FO53" s="1062"/>
      <c r="FP53" s="1070"/>
      <c r="FQ53" s="1071"/>
      <c r="FR53" s="1064">
        <v>1399</v>
      </c>
      <c r="FS53" s="1072"/>
      <c r="FT53" s="1071"/>
      <c r="FU53" s="1073">
        <v>1419</v>
      </c>
      <c r="FV53" s="1074">
        <v>13</v>
      </c>
      <c r="FW53" s="1075">
        <v>3449</v>
      </c>
      <c r="FX53" s="1076">
        <v>13</v>
      </c>
      <c r="FY53" s="1075">
        <v>3428</v>
      </c>
      <c r="FZ53" s="1076">
        <v>12</v>
      </c>
      <c r="GA53" s="1075">
        <v>3313</v>
      </c>
      <c r="GB53" s="1077" t="s">
        <v>542</v>
      </c>
      <c r="GC53" s="1075">
        <v>3449</v>
      </c>
      <c r="GD53" s="1077" t="s">
        <v>332</v>
      </c>
      <c r="GE53" s="1078">
        <v>1419</v>
      </c>
      <c r="GF53" s="671"/>
      <c r="GG53" s="969"/>
      <c r="GH53" s="969"/>
      <c r="GI53" s="969"/>
      <c r="GJ53" s="932"/>
      <c r="GK53" s="404"/>
      <c r="GL53" s="1079">
        <v>10</v>
      </c>
      <c r="GM53" s="1080">
        <v>1</v>
      </c>
      <c r="GN53" s="1081">
        <v>0.92</v>
      </c>
      <c r="GO53" s="1082">
        <v>4.2</v>
      </c>
      <c r="GP53" s="1082">
        <v>0</v>
      </c>
      <c r="GQ53" s="1083">
        <v>4.2</v>
      </c>
      <c r="GR53" s="567"/>
      <c r="GS53" s="470"/>
      <c r="GT53" s="840"/>
      <c r="GU53" s="567" t="s">
        <v>461</v>
      </c>
      <c r="GV53" s="567"/>
      <c r="GW53" s="567"/>
      <c r="GX53" s="567"/>
      <c r="GY53" s="404"/>
      <c r="GZ53" s="400"/>
      <c r="HA53" s="602">
        <v>0</v>
      </c>
      <c r="HB53" s="566" t="s">
        <v>440</v>
      </c>
      <c r="HC53" s="782"/>
      <c r="HD53" s="406"/>
    </row>
    <row r="54" spans="1:212" ht="20.100000000000001" customHeight="1">
      <c r="A54" s="1084" t="s">
        <v>409</v>
      </c>
      <c r="B54" s="1085"/>
      <c r="C54" s="1086"/>
      <c r="D54" s="1087"/>
      <c r="E54" s="1088"/>
      <c r="F54" s="1089"/>
      <c r="G54" s="1090"/>
      <c r="H54" s="1091">
        <v>0</v>
      </c>
      <c r="I54" s="1092"/>
      <c r="J54" s="1091">
        <v>0</v>
      </c>
      <c r="K54" s="1092"/>
      <c r="L54" s="1091">
        <v>0</v>
      </c>
      <c r="M54" s="1092"/>
      <c r="N54" s="1091">
        <v>0</v>
      </c>
      <c r="O54" s="1092"/>
      <c r="P54" s="1091">
        <v>0</v>
      </c>
      <c r="Q54" s="1092"/>
      <c r="R54" s="1091">
        <v>0</v>
      </c>
      <c r="S54" s="1092"/>
      <c r="T54" s="1091">
        <v>0</v>
      </c>
      <c r="U54" s="1092"/>
      <c r="V54" s="1091">
        <v>0</v>
      </c>
      <c r="W54" s="1092"/>
      <c r="X54" s="1091">
        <v>91.7</v>
      </c>
      <c r="Y54" s="1092"/>
      <c r="Z54" s="1091">
        <v>90.5</v>
      </c>
      <c r="AA54" s="1092"/>
      <c r="AB54" s="1091">
        <v>91.9</v>
      </c>
      <c r="AC54" s="1092"/>
      <c r="AD54" s="1091">
        <v>92.1</v>
      </c>
      <c r="AE54" s="1092"/>
      <c r="AF54" s="1091">
        <v>92.3</v>
      </c>
      <c r="AG54" s="1092"/>
      <c r="AH54" s="1091">
        <v>92</v>
      </c>
      <c r="AI54" s="1092"/>
      <c r="AJ54" s="1091">
        <v>90.7</v>
      </c>
      <c r="AK54" s="1092"/>
      <c r="AL54" s="1091">
        <v>89.9</v>
      </c>
      <c r="AM54" s="1092"/>
      <c r="AN54" s="1091">
        <v>87.9</v>
      </c>
      <c r="AO54" s="1092"/>
      <c r="AP54" s="1091">
        <v>86.7</v>
      </c>
      <c r="AQ54" s="1092"/>
      <c r="AR54" s="1091">
        <v>0</v>
      </c>
      <c r="AS54" s="1092"/>
      <c r="AT54" s="1091">
        <v>0</v>
      </c>
      <c r="AU54" s="1092"/>
      <c r="AV54" s="1091">
        <v>0</v>
      </c>
      <c r="AW54" s="1092"/>
      <c r="AX54" s="1091">
        <v>0</v>
      </c>
      <c r="AY54" s="1092"/>
      <c r="AZ54" s="1091">
        <v>0</v>
      </c>
      <c r="BA54" s="1092"/>
      <c r="BB54" s="1093">
        <v>0</v>
      </c>
      <c r="BC54" s="996"/>
      <c r="BD54" s="1084" t="s">
        <v>409</v>
      </c>
      <c r="BE54" s="1085"/>
      <c r="BF54" s="1086"/>
      <c r="BG54" s="1087"/>
      <c r="BH54" s="1088"/>
      <c r="BI54" s="1089"/>
      <c r="BJ54" s="1090"/>
      <c r="BK54" s="1091">
        <v>0</v>
      </c>
      <c r="BL54" s="1092"/>
      <c r="BM54" s="1091">
        <v>0</v>
      </c>
      <c r="BN54" s="1092"/>
      <c r="BO54" s="1091">
        <v>0</v>
      </c>
      <c r="BP54" s="1092"/>
      <c r="BQ54" s="1091">
        <v>0</v>
      </c>
      <c r="BR54" s="1092"/>
      <c r="BS54" s="1091">
        <v>0</v>
      </c>
      <c r="BT54" s="1092"/>
      <c r="BU54" s="1091">
        <v>0</v>
      </c>
      <c r="BV54" s="1092"/>
      <c r="BW54" s="1091">
        <v>0</v>
      </c>
      <c r="BX54" s="1092"/>
      <c r="BY54" s="1091">
        <v>0</v>
      </c>
      <c r="BZ54" s="1092"/>
      <c r="CA54" s="1091">
        <v>91.1</v>
      </c>
      <c r="CB54" s="1092"/>
      <c r="CC54" s="1091">
        <v>89.9</v>
      </c>
      <c r="CD54" s="1092"/>
      <c r="CE54" s="1091">
        <v>91.3</v>
      </c>
      <c r="CF54" s="1092"/>
      <c r="CG54" s="1091">
        <v>91.5</v>
      </c>
      <c r="CH54" s="1092"/>
      <c r="CI54" s="1091">
        <v>91.8</v>
      </c>
      <c r="CJ54" s="1092"/>
      <c r="CK54" s="1091">
        <v>90.9</v>
      </c>
      <c r="CL54" s="1092"/>
      <c r="CM54" s="1091">
        <v>90.1</v>
      </c>
      <c r="CN54" s="1092"/>
      <c r="CO54" s="1091">
        <v>88.8</v>
      </c>
      <c r="CP54" s="1092"/>
      <c r="CQ54" s="1091">
        <v>87.9</v>
      </c>
      <c r="CR54" s="1092"/>
      <c r="CS54" s="1091">
        <v>86.1</v>
      </c>
      <c r="CT54" s="1092"/>
      <c r="CU54" s="1091">
        <v>0</v>
      </c>
      <c r="CV54" s="1092"/>
      <c r="CW54" s="1091">
        <v>0</v>
      </c>
      <c r="CX54" s="1092"/>
      <c r="CY54" s="1091">
        <v>0</v>
      </c>
      <c r="CZ54" s="1092"/>
      <c r="DA54" s="1091">
        <v>0</v>
      </c>
      <c r="DB54" s="1092"/>
      <c r="DC54" s="1091">
        <v>0</v>
      </c>
      <c r="DD54" s="1092"/>
      <c r="DE54" s="1093">
        <v>0</v>
      </c>
      <c r="DF54" s="996"/>
      <c r="DG54" s="1084" t="s">
        <v>409</v>
      </c>
      <c r="DH54" s="1085"/>
      <c r="DI54" s="1086"/>
      <c r="DJ54" s="1087"/>
      <c r="DK54" s="1088"/>
      <c r="DL54" s="1089"/>
      <c r="DM54" s="1090"/>
      <c r="DN54" s="1091">
        <v>0</v>
      </c>
      <c r="DO54" s="1092"/>
      <c r="DP54" s="1091">
        <v>0</v>
      </c>
      <c r="DQ54" s="1092"/>
      <c r="DR54" s="1091">
        <v>0</v>
      </c>
      <c r="DS54" s="1092"/>
      <c r="DT54" s="1091">
        <v>0</v>
      </c>
      <c r="DU54" s="1092"/>
      <c r="DV54" s="1091">
        <v>0</v>
      </c>
      <c r="DW54" s="1092"/>
      <c r="DX54" s="1091">
        <v>0</v>
      </c>
      <c r="DY54" s="1092"/>
      <c r="DZ54" s="1091">
        <v>0</v>
      </c>
      <c r="EA54" s="1092"/>
      <c r="EB54" s="1091">
        <v>0</v>
      </c>
      <c r="EC54" s="1092"/>
      <c r="ED54" s="1091">
        <v>87.2</v>
      </c>
      <c r="EE54" s="1092"/>
      <c r="EF54" s="1091">
        <v>86.5</v>
      </c>
      <c r="EG54" s="1092"/>
      <c r="EH54" s="1091">
        <v>87.9</v>
      </c>
      <c r="EI54" s="1092"/>
      <c r="EJ54" s="1091">
        <v>88.7</v>
      </c>
      <c r="EK54" s="1092"/>
      <c r="EL54" s="1091">
        <v>88.4</v>
      </c>
      <c r="EM54" s="1092"/>
      <c r="EN54" s="1091">
        <v>87.5</v>
      </c>
      <c r="EO54" s="1092"/>
      <c r="EP54" s="1091">
        <v>86.7</v>
      </c>
      <c r="EQ54" s="1092"/>
      <c r="ER54" s="1091">
        <v>86</v>
      </c>
      <c r="ES54" s="1092"/>
      <c r="ET54" s="1091">
        <v>84</v>
      </c>
      <c r="EU54" s="1092"/>
      <c r="EV54" s="1091">
        <v>82.2</v>
      </c>
      <c r="EW54" s="1092"/>
      <c r="EX54" s="1091">
        <v>0</v>
      </c>
      <c r="EY54" s="1092"/>
      <c r="EZ54" s="1091">
        <v>0</v>
      </c>
      <c r="FA54" s="1092"/>
      <c r="FB54" s="1091">
        <v>0</v>
      </c>
      <c r="FC54" s="1092"/>
      <c r="FD54" s="1091">
        <v>0</v>
      </c>
      <c r="FE54" s="1092"/>
      <c r="FF54" s="1091">
        <v>0</v>
      </c>
      <c r="FG54" s="1092"/>
      <c r="FH54" s="1093">
        <v>0</v>
      </c>
      <c r="FI54" s="996"/>
      <c r="FJ54" s="1084" t="s">
        <v>409</v>
      </c>
      <c r="FK54" s="1085"/>
      <c r="FL54" s="1086"/>
      <c r="FM54" s="1087"/>
      <c r="FN54" s="1088"/>
      <c r="FO54" s="1089"/>
      <c r="FP54" s="1094"/>
      <c r="FQ54" s="1092"/>
      <c r="FR54" s="1091">
        <v>37.5</v>
      </c>
      <c r="FS54" s="1095"/>
      <c r="FT54" s="1092"/>
      <c r="FU54" s="1096">
        <v>38</v>
      </c>
      <c r="FV54" s="1095"/>
      <c r="FW54" s="1091">
        <f>IF(面積=0,0,ROUND(FW53/面積,1))</f>
        <v>92.3</v>
      </c>
      <c r="FX54" s="1095"/>
      <c r="FY54" s="1091">
        <f>IF(面積=0,0,ROUND(FY53/面積,1))</f>
        <v>91.8</v>
      </c>
      <c r="FZ54" s="1095"/>
      <c r="GA54" s="1091">
        <f>IF(面積=0,0,ROUND(GA53/面積,1))</f>
        <v>88.7</v>
      </c>
      <c r="GB54" s="1095"/>
      <c r="GC54" s="1091">
        <f>IF(面積=0,0,ROUND(GC53/面積,1))</f>
        <v>92.3</v>
      </c>
      <c r="GD54" s="1095"/>
      <c r="GE54" s="1093">
        <f>IF(面積=0,0,ROUND(GE53/面積,1))</f>
        <v>38</v>
      </c>
      <c r="GF54" s="671"/>
      <c r="GG54" s="916"/>
      <c r="GH54" s="916"/>
      <c r="GI54" s="916"/>
      <c r="GJ54" s="567"/>
      <c r="GK54" s="566"/>
      <c r="GL54" s="1079">
        <v>11</v>
      </c>
      <c r="GM54" s="1080">
        <v>2</v>
      </c>
      <c r="GN54" s="1081">
        <v>0.85</v>
      </c>
      <c r="GO54" s="1082">
        <v>3.9</v>
      </c>
      <c r="GP54" s="1082">
        <v>0</v>
      </c>
      <c r="GQ54" s="1083">
        <v>3.9</v>
      </c>
      <c r="GR54" s="517"/>
      <c r="GS54" s="567"/>
      <c r="GT54" s="840"/>
      <c r="GU54" s="1097" t="s">
        <v>486</v>
      </c>
      <c r="GV54" s="1097"/>
      <c r="GW54" s="1097"/>
      <c r="GX54" s="1097"/>
      <c r="GY54" s="758"/>
      <c r="GZ54" s="1098"/>
      <c r="HA54" s="1099">
        <v>10.1</v>
      </c>
      <c r="HB54" s="1100" t="s">
        <v>440</v>
      </c>
      <c r="HC54" s="516"/>
      <c r="HD54" s="406"/>
    </row>
    <row r="55" spans="1:212" ht="20.100000000000001" customHeight="1" thickBot="1">
      <c r="A55" s="377"/>
      <c r="B55" s="377"/>
      <c r="C55" s="377"/>
      <c r="D55" s="377"/>
      <c r="E55" s="378"/>
      <c r="F55" s="378"/>
      <c r="G55" s="378"/>
      <c r="H55" s="1101"/>
      <c r="I55" s="406"/>
      <c r="J55" s="406"/>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80"/>
      <c r="BD55" s="377"/>
      <c r="BE55" s="377"/>
      <c r="BF55" s="377"/>
      <c r="BG55" s="377"/>
      <c r="BH55" s="378"/>
      <c r="BI55" s="378"/>
      <c r="BJ55" s="378"/>
      <c r="BK55" s="1101"/>
      <c r="BL55" s="406"/>
      <c r="BM55" s="406"/>
      <c r="BN55" s="378"/>
      <c r="BO55" s="378"/>
      <c r="BP55" s="378"/>
      <c r="BQ55" s="378"/>
      <c r="BR55" s="378"/>
      <c r="BS55" s="378"/>
      <c r="BT55" s="378"/>
      <c r="BU55" s="378"/>
      <c r="BV55" s="378"/>
      <c r="BW55" s="378"/>
      <c r="BX55" s="378"/>
      <c r="BY55" s="378"/>
      <c r="BZ55" s="378"/>
      <c r="CA55" s="378"/>
      <c r="CB55" s="378"/>
      <c r="CC55" s="378"/>
      <c r="CD55" s="378"/>
      <c r="CE55" s="378"/>
      <c r="CF55" s="378"/>
      <c r="CG55" s="378"/>
      <c r="CH55" s="378"/>
      <c r="CI55" s="378"/>
      <c r="CJ55" s="378"/>
      <c r="CK55" s="378"/>
      <c r="CL55" s="378"/>
      <c r="CM55" s="378"/>
      <c r="CN55" s="378"/>
      <c r="CO55" s="378"/>
      <c r="CP55" s="378"/>
      <c r="CQ55" s="378"/>
      <c r="CR55" s="378"/>
      <c r="CS55" s="378"/>
      <c r="CT55" s="378"/>
      <c r="CU55" s="378"/>
      <c r="CV55" s="378"/>
      <c r="CW55" s="378"/>
      <c r="CX55" s="378"/>
      <c r="CY55" s="378"/>
      <c r="CZ55" s="378"/>
      <c r="DA55" s="378"/>
      <c r="DB55" s="378"/>
      <c r="DC55" s="378"/>
      <c r="DD55" s="378"/>
      <c r="DE55" s="378"/>
      <c r="DF55" s="380"/>
      <c r="DG55" s="377"/>
      <c r="DH55" s="377"/>
      <c r="DI55" s="377"/>
      <c r="DJ55" s="377"/>
      <c r="DK55" s="378"/>
      <c r="DL55" s="378"/>
      <c r="DM55" s="378"/>
      <c r="DN55" s="1101"/>
      <c r="DO55" s="406"/>
      <c r="DP55" s="406"/>
      <c r="DQ55" s="378"/>
      <c r="DR55" s="378"/>
      <c r="DS55" s="378"/>
      <c r="DT55" s="378"/>
      <c r="DU55" s="378"/>
      <c r="DV55" s="378"/>
      <c r="DW55" s="378"/>
      <c r="DX55" s="378"/>
      <c r="DY55" s="378"/>
      <c r="DZ55" s="378"/>
      <c r="EA55" s="378"/>
      <c r="EB55" s="378"/>
      <c r="EC55" s="378"/>
      <c r="ED55" s="378"/>
      <c r="EE55" s="378"/>
      <c r="EF55" s="378"/>
      <c r="EG55" s="378"/>
      <c r="EH55" s="378"/>
      <c r="EI55" s="378"/>
      <c r="EJ55" s="378"/>
      <c r="EK55" s="378"/>
      <c r="EL55" s="378"/>
      <c r="EM55" s="378"/>
      <c r="EN55" s="378"/>
      <c r="EO55" s="378"/>
      <c r="EP55" s="378"/>
      <c r="EQ55" s="378"/>
      <c r="ER55" s="378"/>
      <c r="ES55" s="378"/>
      <c r="ET55" s="378"/>
      <c r="EU55" s="378"/>
      <c r="EV55" s="378"/>
      <c r="EW55" s="378"/>
      <c r="EX55" s="378"/>
      <c r="EY55" s="378"/>
      <c r="EZ55" s="378"/>
      <c r="FA55" s="378"/>
      <c r="FB55" s="378"/>
      <c r="FC55" s="378"/>
      <c r="FD55" s="378"/>
      <c r="FE55" s="378"/>
      <c r="FF55" s="378"/>
      <c r="FG55" s="378"/>
      <c r="FH55" s="378"/>
      <c r="FI55" s="380"/>
      <c r="FJ55" s="377"/>
      <c r="FK55" s="377"/>
      <c r="FL55" s="377"/>
      <c r="FM55" s="377"/>
      <c r="FN55" s="378"/>
      <c r="FO55" s="378"/>
      <c r="FP55" s="378"/>
      <c r="FQ55" s="406"/>
      <c r="FR55" s="1101"/>
      <c r="FS55" s="406"/>
      <c r="FT55" s="406"/>
      <c r="FU55" s="406"/>
      <c r="FV55" s="377"/>
      <c r="FW55" s="377"/>
      <c r="FX55" s="377"/>
      <c r="FY55" s="377"/>
      <c r="FZ55" s="377"/>
      <c r="GA55" s="377"/>
      <c r="GB55" s="377"/>
      <c r="GC55" s="377"/>
      <c r="GD55" s="377"/>
      <c r="GE55" s="1102"/>
      <c r="GF55" s="671"/>
      <c r="GG55" s="382"/>
      <c r="GH55" s="382"/>
      <c r="GI55" s="382"/>
      <c r="GJ55" s="517"/>
      <c r="GK55" s="404"/>
      <c r="GL55" s="1103">
        <v>12</v>
      </c>
      <c r="GM55" s="1104">
        <v>3</v>
      </c>
      <c r="GN55" s="1081">
        <v>0.78</v>
      </c>
      <c r="GO55" s="1082">
        <v>3.6</v>
      </c>
      <c r="GP55" s="1082">
        <v>0</v>
      </c>
      <c r="GQ55" s="1083">
        <v>3.6</v>
      </c>
      <c r="GR55" s="517"/>
      <c r="GS55" s="517"/>
      <c r="GT55" s="1105"/>
      <c r="GU55" s="1106"/>
      <c r="GV55" s="566"/>
      <c r="GW55" s="517"/>
      <c r="GX55" s="566"/>
      <c r="GY55" s="382"/>
      <c r="GZ55" s="516"/>
      <c r="HA55" s="567"/>
      <c r="HB55" s="516"/>
      <c r="HC55" s="382"/>
      <c r="HD55" s="378"/>
    </row>
    <row r="56" spans="1:212" ht="20.100000000000001" customHeight="1">
      <c r="A56" s="1107" t="s">
        <v>309</v>
      </c>
      <c r="B56" s="1108"/>
      <c r="C56" s="1108"/>
      <c r="D56" s="1108"/>
      <c r="E56" s="1109"/>
      <c r="F56" s="1110"/>
      <c r="G56" s="1111">
        <v>1</v>
      </c>
      <c r="H56" s="1112"/>
      <c r="I56" s="1113">
        <v>2</v>
      </c>
      <c r="J56" s="1112"/>
      <c r="K56" s="1113">
        <v>3</v>
      </c>
      <c r="L56" s="1112"/>
      <c r="M56" s="1113">
        <v>4</v>
      </c>
      <c r="N56" s="1112"/>
      <c r="O56" s="1113">
        <v>5</v>
      </c>
      <c r="P56" s="1112"/>
      <c r="Q56" s="1113">
        <v>6</v>
      </c>
      <c r="R56" s="1112"/>
      <c r="S56" s="1113">
        <v>7</v>
      </c>
      <c r="T56" s="1112"/>
      <c r="U56" s="1113">
        <v>8</v>
      </c>
      <c r="V56" s="1112"/>
      <c r="W56" s="1113">
        <v>9</v>
      </c>
      <c r="X56" s="1112"/>
      <c r="Y56" s="1113">
        <v>10</v>
      </c>
      <c r="Z56" s="1112"/>
      <c r="AA56" s="1113">
        <v>11</v>
      </c>
      <c r="AB56" s="1112"/>
      <c r="AC56" s="1113">
        <v>12</v>
      </c>
      <c r="AD56" s="1112"/>
      <c r="AE56" s="1113">
        <v>13</v>
      </c>
      <c r="AF56" s="1112"/>
      <c r="AG56" s="1113">
        <v>14</v>
      </c>
      <c r="AH56" s="1112"/>
      <c r="AI56" s="1113">
        <v>15</v>
      </c>
      <c r="AJ56" s="1112"/>
      <c r="AK56" s="1113">
        <v>16</v>
      </c>
      <c r="AL56" s="1112"/>
      <c r="AM56" s="1113">
        <v>17</v>
      </c>
      <c r="AN56" s="1112"/>
      <c r="AO56" s="1113">
        <v>18</v>
      </c>
      <c r="AP56" s="1112"/>
      <c r="AQ56" s="1113">
        <v>19</v>
      </c>
      <c r="AR56" s="1112"/>
      <c r="AS56" s="1113">
        <v>20</v>
      </c>
      <c r="AT56" s="1112"/>
      <c r="AU56" s="1113">
        <v>21</v>
      </c>
      <c r="AV56" s="1112"/>
      <c r="AW56" s="1113">
        <v>22</v>
      </c>
      <c r="AX56" s="1112"/>
      <c r="AY56" s="1113">
        <v>23</v>
      </c>
      <c r="AZ56" s="1112"/>
      <c r="BA56" s="1113">
        <v>24</v>
      </c>
      <c r="BB56" s="1114"/>
      <c r="BC56" s="1017"/>
      <c r="BD56" s="1107" t="s">
        <v>309</v>
      </c>
      <c r="BE56" s="1108"/>
      <c r="BF56" s="1108"/>
      <c r="BG56" s="1108"/>
      <c r="BH56" s="1109"/>
      <c r="BI56" s="1110"/>
      <c r="BJ56" s="1111">
        <v>1</v>
      </c>
      <c r="BK56" s="1112"/>
      <c r="BL56" s="1113">
        <v>2</v>
      </c>
      <c r="BM56" s="1112"/>
      <c r="BN56" s="1113">
        <v>3</v>
      </c>
      <c r="BO56" s="1112"/>
      <c r="BP56" s="1113">
        <v>4</v>
      </c>
      <c r="BQ56" s="1112"/>
      <c r="BR56" s="1113">
        <v>5</v>
      </c>
      <c r="BS56" s="1112"/>
      <c r="BT56" s="1113">
        <v>6</v>
      </c>
      <c r="BU56" s="1112"/>
      <c r="BV56" s="1113">
        <v>7</v>
      </c>
      <c r="BW56" s="1112"/>
      <c r="BX56" s="1113">
        <v>8</v>
      </c>
      <c r="BY56" s="1112"/>
      <c r="BZ56" s="1113">
        <v>9</v>
      </c>
      <c r="CA56" s="1112"/>
      <c r="CB56" s="1113">
        <v>10</v>
      </c>
      <c r="CC56" s="1112"/>
      <c r="CD56" s="1113">
        <v>11</v>
      </c>
      <c r="CE56" s="1112"/>
      <c r="CF56" s="1113">
        <v>12</v>
      </c>
      <c r="CG56" s="1112"/>
      <c r="CH56" s="1113">
        <v>13</v>
      </c>
      <c r="CI56" s="1112"/>
      <c r="CJ56" s="1113">
        <v>14</v>
      </c>
      <c r="CK56" s="1112"/>
      <c r="CL56" s="1113">
        <v>15</v>
      </c>
      <c r="CM56" s="1112"/>
      <c r="CN56" s="1113">
        <v>16</v>
      </c>
      <c r="CO56" s="1112"/>
      <c r="CP56" s="1113">
        <v>17</v>
      </c>
      <c r="CQ56" s="1112"/>
      <c r="CR56" s="1113">
        <v>18</v>
      </c>
      <c r="CS56" s="1112"/>
      <c r="CT56" s="1113">
        <v>19</v>
      </c>
      <c r="CU56" s="1112"/>
      <c r="CV56" s="1113">
        <v>20</v>
      </c>
      <c r="CW56" s="1112"/>
      <c r="CX56" s="1113">
        <v>21</v>
      </c>
      <c r="CY56" s="1112"/>
      <c r="CZ56" s="1113">
        <v>22</v>
      </c>
      <c r="DA56" s="1112"/>
      <c r="DB56" s="1113">
        <v>23</v>
      </c>
      <c r="DC56" s="1112"/>
      <c r="DD56" s="1113">
        <v>24</v>
      </c>
      <c r="DE56" s="1114"/>
      <c r="DF56" s="1017"/>
      <c r="DG56" s="1107" t="s">
        <v>309</v>
      </c>
      <c r="DH56" s="1108"/>
      <c r="DI56" s="1108"/>
      <c r="DJ56" s="1108"/>
      <c r="DK56" s="1109"/>
      <c r="DL56" s="1110"/>
      <c r="DM56" s="1111">
        <v>1</v>
      </c>
      <c r="DN56" s="1112"/>
      <c r="DO56" s="1113">
        <v>2</v>
      </c>
      <c r="DP56" s="1112"/>
      <c r="DQ56" s="1113">
        <v>3</v>
      </c>
      <c r="DR56" s="1112"/>
      <c r="DS56" s="1113">
        <v>4</v>
      </c>
      <c r="DT56" s="1112"/>
      <c r="DU56" s="1113">
        <v>5</v>
      </c>
      <c r="DV56" s="1112"/>
      <c r="DW56" s="1113">
        <v>6</v>
      </c>
      <c r="DX56" s="1112"/>
      <c r="DY56" s="1113">
        <v>7</v>
      </c>
      <c r="DZ56" s="1112"/>
      <c r="EA56" s="1113">
        <v>8</v>
      </c>
      <c r="EB56" s="1112"/>
      <c r="EC56" s="1113">
        <v>9</v>
      </c>
      <c r="ED56" s="1112"/>
      <c r="EE56" s="1113">
        <v>10</v>
      </c>
      <c r="EF56" s="1112"/>
      <c r="EG56" s="1113">
        <v>11</v>
      </c>
      <c r="EH56" s="1112"/>
      <c r="EI56" s="1113">
        <v>12</v>
      </c>
      <c r="EJ56" s="1112"/>
      <c r="EK56" s="1113">
        <v>13</v>
      </c>
      <c r="EL56" s="1112"/>
      <c r="EM56" s="1113">
        <v>14</v>
      </c>
      <c r="EN56" s="1112"/>
      <c r="EO56" s="1113">
        <v>15</v>
      </c>
      <c r="EP56" s="1112"/>
      <c r="EQ56" s="1113">
        <v>16</v>
      </c>
      <c r="ER56" s="1112"/>
      <c r="ES56" s="1113">
        <v>17</v>
      </c>
      <c r="ET56" s="1112"/>
      <c r="EU56" s="1113">
        <v>18</v>
      </c>
      <c r="EV56" s="1112"/>
      <c r="EW56" s="1113">
        <v>19</v>
      </c>
      <c r="EX56" s="1112"/>
      <c r="EY56" s="1113">
        <v>20</v>
      </c>
      <c r="EZ56" s="1112"/>
      <c r="FA56" s="1113">
        <v>21</v>
      </c>
      <c r="FB56" s="1112"/>
      <c r="FC56" s="1113">
        <v>22</v>
      </c>
      <c r="FD56" s="1112"/>
      <c r="FE56" s="1113">
        <v>23</v>
      </c>
      <c r="FF56" s="1112"/>
      <c r="FG56" s="1113">
        <v>24</v>
      </c>
      <c r="FH56" s="1114"/>
      <c r="FI56" s="1017"/>
      <c r="FJ56" s="1107" t="s">
        <v>310</v>
      </c>
      <c r="FK56" s="1108"/>
      <c r="FL56" s="1108"/>
      <c r="FM56" s="1108"/>
      <c r="FN56" s="1109"/>
      <c r="FO56" s="1109"/>
      <c r="FP56" s="1115" t="s">
        <v>508</v>
      </c>
      <c r="FQ56" s="1116"/>
      <c r="FR56" s="1117"/>
      <c r="FS56" s="1118" t="s">
        <v>259</v>
      </c>
      <c r="FT56" s="1119"/>
      <c r="FU56" s="1120"/>
      <c r="FV56" s="1121" t="s">
        <v>311</v>
      </c>
      <c r="FW56" s="1122"/>
      <c r="FX56" s="1123" t="s">
        <v>312</v>
      </c>
      <c r="FY56" s="1124"/>
      <c r="FZ56" s="1125" t="s">
        <v>313</v>
      </c>
      <c r="GA56" s="1126"/>
      <c r="GB56" s="1127" t="s">
        <v>314</v>
      </c>
      <c r="GC56" s="1112"/>
      <c r="GD56" s="1127" t="s">
        <v>315</v>
      </c>
      <c r="GE56" s="1114"/>
      <c r="GF56" s="671"/>
      <c r="GG56" s="470"/>
      <c r="GH56" s="470"/>
      <c r="GI56" s="470"/>
      <c r="GJ56" s="517"/>
      <c r="GK56" s="566"/>
      <c r="GL56" s="1079">
        <v>13</v>
      </c>
      <c r="GM56" s="1080">
        <v>4</v>
      </c>
      <c r="GN56" s="1081">
        <v>0.72</v>
      </c>
      <c r="GO56" s="1082">
        <v>3.3</v>
      </c>
      <c r="GP56" s="1082">
        <v>0</v>
      </c>
      <c r="GQ56" s="1083">
        <v>3.3</v>
      </c>
      <c r="GR56" s="517"/>
      <c r="GS56" s="516"/>
      <c r="GT56" s="1243"/>
      <c r="GU56" s="565"/>
      <c r="GV56" s="566"/>
      <c r="GW56" s="565"/>
      <c r="GX56" s="566"/>
      <c r="GY56" s="566"/>
      <c r="GZ56" s="487"/>
      <c r="HA56" s="565"/>
      <c r="HB56" s="487"/>
      <c r="HC56" s="473"/>
    </row>
    <row r="57" spans="1:212" ht="20.100000000000001" customHeight="1">
      <c r="A57" s="1128"/>
      <c r="B57" s="1129"/>
      <c r="C57" s="1129"/>
      <c r="D57" s="1129"/>
      <c r="E57" s="1130"/>
      <c r="F57" s="1131"/>
      <c r="G57" s="1132" t="s">
        <v>316</v>
      </c>
      <c r="H57" s="1133" t="s">
        <v>296</v>
      </c>
      <c r="I57" s="1134" t="s">
        <v>316</v>
      </c>
      <c r="J57" s="1133" t="s">
        <v>296</v>
      </c>
      <c r="K57" s="1134" t="s">
        <v>316</v>
      </c>
      <c r="L57" s="1133" t="s">
        <v>296</v>
      </c>
      <c r="M57" s="1134" t="s">
        <v>316</v>
      </c>
      <c r="N57" s="1133" t="s">
        <v>296</v>
      </c>
      <c r="O57" s="1134" t="s">
        <v>316</v>
      </c>
      <c r="P57" s="1133" t="s">
        <v>296</v>
      </c>
      <c r="Q57" s="1134" t="s">
        <v>316</v>
      </c>
      <c r="R57" s="1133" t="s">
        <v>296</v>
      </c>
      <c r="S57" s="1134" t="s">
        <v>316</v>
      </c>
      <c r="T57" s="1133" t="s">
        <v>296</v>
      </c>
      <c r="U57" s="1134" t="s">
        <v>316</v>
      </c>
      <c r="V57" s="1133" t="s">
        <v>296</v>
      </c>
      <c r="W57" s="1134" t="s">
        <v>316</v>
      </c>
      <c r="X57" s="1133" t="s">
        <v>296</v>
      </c>
      <c r="Y57" s="1134" t="s">
        <v>316</v>
      </c>
      <c r="Z57" s="1133" t="s">
        <v>296</v>
      </c>
      <c r="AA57" s="1134" t="s">
        <v>316</v>
      </c>
      <c r="AB57" s="1133" t="s">
        <v>296</v>
      </c>
      <c r="AC57" s="1134" t="s">
        <v>316</v>
      </c>
      <c r="AD57" s="1133" t="s">
        <v>316</v>
      </c>
      <c r="AE57" s="1134" t="s">
        <v>316</v>
      </c>
      <c r="AF57" s="1133" t="s">
        <v>296</v>
      </c>
      <c r="AG57" s="1134" t="s">
        <v>316</v>
      </c>
      <c r="AH57" s="1133" t="s">
        <v>296</v>
      </c>
      <c r="AI57" s="1134" t="s">
        <v>316</v>
      </c>
      <c r="AJ57" s="1133" t="s">
        <v>296</v>
      </c>
      <c r="AK57" s="1134" t="s">
        <v>316</v>
      </c>
      <c r="AL57" s="1133" t="s">
        <v>296</v>
      </c>
      <c r="AM57" s="1134" t="s">
        <v>316</v>
      </c>
      <c r="AN57" s="1133" t="s">
        <v>296</v>
      </c>
      <c r="AO57" s="1134" t="s">
        <v>316</v>
      </c>
      <c r="AP57" s="1133" t="s">
        <v>296</v>
      </c>
      <c r="AQ57" s="1134" t="s">
        <v>316</v>
      </c>
      <c r="AR57" s="1133" t="s">
        <v>296</v>
      </c>
      <c r="AS57" s="1134" t="s">
        <v>316</v>
      </c>
      <c r="AT57" s="1133" t="s">
        <v>296</v>
      </c>
      <c r="AU57" s="1134" t="s">
        <v>316</v>
      </c>
      <c r="AV57" s="1133" t="s">
        <v>296</v>
      </c>
      <c r="AW57" s="1134" t="s">
        <v>316</v>
      </c>
      <c r="AX57" s="1133" t="s">
        <v>296</v>
      </c>
      <c r="AY57" s="1134" t="s">
        <v>316</v>
      </c>
      <c r="AZ57" s="1133" t="s">
        <v>296</v>
      </c>
      <c r="BA57" s="1135" t="s">
        <v>316</v>
      </c>
      <c r="BB57" s="1136" t="s">
        <v>296</v>
      </c>
      <c r="BC57" s="1031"/>
      <c r="BD57" s="1128"/>
      <c r="BE57" s="1129"/>
      <c r="BF57" s="1129"/>
      <c r="BG57" s="1129"/>
      <c r="BH57" s="1130"/>
      <c r="BI57" s="1131"/>
      <c r="BJ57" s="1132" t="s">
        <v>316</v>
      </c>
      <c r="BK57" s="1133" t="s">
        <v>296</v>
      </c>
      <c r="BL57" s="1134" t="s">
        <v>316</v>
      </c>
      <c r="BM57" s="1133" t="s">
        <v>296</v>
      </c>
      <c r="BN57" s="1134" t="s">
        <v>316</v>
      </c>
      <c r="BO57" s="1133" t="s">
        <v>296</v>
      </c>
      <c r="BP57" s="1134" t="s">
        <v>316</v>
      </c>
      <c r="BQ57" s="1133" t="s">
        <v>296</v>
      </c>
      <c r="BR57" s="1134" t="s">
        <v>316</v>
      </c>
      <c r="BS57" s="1133" t="s">
        <v>296</v>
      </c>
      <c r="BT57" s="1134" t="s">
        <v>316</v>
      </c>
      <c r="BU57" s="1133" t="s">
        <v>296</v>
      </c>
      <c r="BV57" s="1134" t="s">
        <v>316</v>
      </c>
      <c r="BW57" s="1133" t="s">
        <v>296</v>
      </c>
      <c r="BX57" s="1134" t="s">
        <v>316</v>
      </c>
      <c r="BY57" s="1133" t="s">
        <v>296</v>
      </c>
      <c r="BZ57" s="1134" t="s">
        <v>316</v>
      </c>
      <c r="CA57" s="1133" t="s">
        <v>296</v>
      </c>
      <c r="CB57" s="1134" t="s">
        <v>316</v>
      </c>
      <c r="CC57" s="1133" t="s">
        <v>296</v>
      </c>
      <c r="CD57" s="1134" t="s">
        <v>316</v>
      </c>
      <c r="CE57" s="1133" t="s">
        <v>296</v>
      </c>
      <c r="CF57" s="1134" t="s">
        <v>316</v>
      </c>
      <c r="CG57" s="1133" t="s">
        <v>316</v>
      </c>
      <c r="CH57" s="1134" t="s">
        <v>316</v>
      </c>
      <c r="CI57" s="1133" t="s">
        <v>296</v>
      </c>
      <c r="CJ57" s="1134" t="s">
        <v>316</v>
      </c>
      <c r="CK57" s="1133" t="s">
        <v>296</v>
      </c>
      <c r="CL57" s="1134" t="s">
        <v>316</v>
      </c>
      <c r="CM57" s="1133" t="s">
        <v>296</v>
      </c>
      <c r="CN57" s="1134" t="s">
        <v>316</v>
      </c>
      <c r="CO57" s="1133" t="s">
        <v>296</v>
      </c>
      <c r="CP57" s="1134" t="s">
        <v>316</v>
      </c>
      <c r="CQ57" s="1133" t="s">
        <v>296</v>
      </c>
      <c r="CR57" s="1134" t="s">
        <v>316</v>
      </c>
      <c r="CS57" s="1133" t="s">
        <v>296</v>
      </c>
      <c r="CT57" s="1134" t="s">
        <v>316</v>
      </c>
      <c r="CU57" s="1133" t="s">
        <v>296</v>
      </c>
      <c r="CV57" s="1134" t="s">
        <v>316</v>
      </c>
      <c r="CW57" s="1133" t="s">
        <v>296</v>
      </c>
      <c r="CX57" s="1134" t="s">
        <v>316</v>
      </c>
      <c r="CY57" s="1133" t="s">
        <v>296</v>
      </c>
      <c r="CZ57" s="1134" t="s">
        <v>316</v>
      </c>
      <c r="DA57" s="1133" t="s">
        <v>296</v>
      </c>
      <c r="DB57" s="1134" t="s">
        <v>316</v>
      </c>
      <c r="DC57" s="1133" t="s">
        <v>296</v>
      </c>
      <c r="DD57" s="1135" t="s">
        <v>316</v>
      </c>
      <c r="DE57" s="1136" t="s">
        <v>296</v>
      </c>
      <c r="DF57" s="1031"/>
      <c r="DG57" s="1128"/>
      <c r="DH57" s="1129"/>
      <c r="DI57" s="1129"/>
      <c r="DJ57" s="1129"/>
      <c r="DK57" s="1130"/>
      <c r="DL57" s="1131"/>
      <c r="DM57" s="1132" t="s">
        <v>316</v>
      </c>
      <c r="DN57" s="1133" t="s">
        <v>296</v>
      </c>
      <c r="DO57" s="1134" t="s">
        <v>316</v>
      </c>
      <c r="DP57" s="1133" t="s">
        <v>296</v>
      </c>
      <c r="DQ57" s="1134" t="s">
        <v>316</v>
      </c>
      <c r="DR57" s="1133" t="s">
        <v>296</v>
      </c>
      <c r="DS57" s="1134" t="s">
        <v>316</v>
      </c>
      <c r="DT57" s="1133" t="s">
        <v>296</v>
      </c>
      <c r="DU57" s="1134" t="s">
        <v>316</v>
      </c>
      <c r="DV57" s="1133" t="s">
        <v>296</v>
      </c>
      <c r="DW57" s="1134" t="s">
        <v>316</v>
      </c>
      <c r="DX57" s="1133" t="s">
        <v>296</v>
      </c>
      <c r="DY57" s="1134" t="s">
        <v>316</v>
      </c>
      <c r="DZ57" s="1133" t="s">
        <v>296</v>
      </c>
      <c r="EA57" s="1134" t="s">
        <v>316</v>
      </c>
      <c r="EB57" s="1133" t="s">
        <v>296</v>
      </c>
      <c r="EC57" s="1134" t="s">
        <v>316</v>
      </c>
      <c r="ED57" s="1133" t="s">
        <v>296</v>
      </c>
      <c r="EE57" s="1134" t="s">
        <v>316</v>
      </c>
      <c r="EF57" s="1133" t="s">
        <v>296</v>
      </c>
      <c r="EG57" s="1134" t="s">
        <v>316</v>
      </c>
      <c r="EH57" s="1133" t="s">
        <v>296</v>
      </c>
      <c r="EI57" s="1134" t="s">
        <v>316</v>
      </c>
      <c r="EJ57" s="1133" t="s">
        <v>316</v>
      </c>
      <c r="EK57" s="1134" t="s">
        <v>316</v>
      </c>
      <c r="EL57" s="1133" t="s">
        <v>296</v>
      </c>
      <c r="EM57" s="1134" t="s">
        <v>316</v>
      </c>
      <c r="EN57" s="1133" t="s">
        <v>296</v>
      </c>
      <c r="EO57" s="1134" t="s">
        <v>316</v>
      </c>
      <c r="EP57" s="1133" t="s">
        <v>296</v>
      </c>
      <c r="EQ57" s="1134" t="s">
        <v>316</v>
      </c>
      <c r="ER57" s="1133" t="s">
        <v>296</v>
      </c>
      <c r="ES57" s="1134" t="s">
        <v>316</v>
      </c>
      <c r="ET57" s="1133" t="s">
        <v>296</v>
      </c>
      <c r="EU57" s="1134" t="s">
        <v>316</v>
      </c>
      <c r="EV57" s="1133" t="s">
        <v>296</v>
      </c>
      <c r="EW57" s="1134" t="s">
        <v>316</v>
      </c>
      <c r="EX57" s="1133" t="s">
        <v>296</v>
      </c>
      <c r="EY57" s="1134" t="s">
        <v>316</v>
      </c>
      <c r="EZ57" s="1133" t="s">
        <v>296</v>
      </c>
      <c r="FA57" s="1134" t="s">
        <v>316</v>
      </c>
      <c r="FB57" s="1133" t="s">
        <v>296</v>
      </c>
      <c r="FC57" s="1134" t="s">
        <v>316</v>
      </c>
      <c r="FD57" s="1133" t="s">
        <v>296</v>
      </c>
      <c r="FE57" s="1134" t="s">
        <v>316</v>
      </c>
      <c r="FF57" s="1133" t="s">
        <v>296</v>
      </c>
      <c r="FG57" s="1135" t="s">
        <v>316</v>
      </c>
      <c r="FH57" s="1136" t="s">
        <v>296</v>
      </c>
      <c r="FI57" s="1031"/>
      <c r="FJ57" s="1128"/>
      <c r="FK57" s="1129"/>
      <c r="FL57" s="1129"/>
      <c r="FM57" s="1129"/>
      <c r="FN57" s="1130"/>
      <c r="FO57" s="1131"/>
      <c r="FP57" s="1137" t="s">
        <v>48</v>
      </c>
      <c r="FQ57" s="1135" t="s">
        <v>316</v>
      </c>
      <c r="FR57" s="1133" t="s">
        <v>297</v>
      </c>
      <c r="FS57" s="1138" t="s">
        <v>48</v>
      </c>
      <c r="FT57" s="1135" t="s">
        <v>316</v>
      </c>
      <c r="FU57" s="1139" t="s">
        <v>297</v>
      </c>
      <c r="FV57" s="1140" t="s">
        <v>48</v>
      </c>
      <c r="FW57" s="1133" t="s">
        <v>296</v>
      </c>
      <c r="FX57" s="1138" t="s">
        <v>48</v>
      </c>
      <c r="FY57" s="1133" t="s">
        <v>296</v>
      </c>
      <c r="FZ57" s="1138" t="s">
        <v>48</v>
      </c>
      <c r="GA57" s="1133" t="s">
        <v>296</v>
      </c>
      <c r="GB57" s="1138" t="s">
        <v>48</v>
      </c>
      <c r="GC57" s="1133" t="s">
        <v>296</v>
      </c>
      <c r="GD57" s="1138" t="s">
        <v>48</v>
      </c>
      <c r="GE57" s="1136" t="s">
        <v>297</v>
      </c>
      <c r="GF57" s="671"/>
      <c r="GG57" s="642"/>
      <c r="GH57" s="642"/>
      <c r="GI57" s="642"/>
      <c r="GJ57" s="932"/>
      <c r="GK57" s="400"/>
      <c r="GL57" s="1103">
        <v>14</v>
      </c>
      <c r="GM57" s="1104">
        <v>5</v>
      </c>
      <c r="GN57" s="1081">
        <v>0.66</v>
      </c>
      <c r="GO57" s="1082">
        <v>3</v>
      </c>
      <c r="GP57" s="1082">
        <v>0</v>
      </c>
      <c r="GQ57" s="1083">
        <v>3</v>
      </c>
      <c r="GR57" s="932"/>
      <c r="GS57" s="516"/>
      <c r="GT57" s="1243"/>
      <c r="GU57" s="565"/>
      <c r="GV57" s="565"/>
      <c r="GW57" s="487"/>
      <c r="GX57" s="1246"/>
      <c r="GY57" s="566"/>
      <c r="GZ57" s="487"/>
      <c r="HA57" s="565"/>
      <c r="HB57" s="487"/>
      <c r="HC57" s="1031"/>
    </row>
    <row r="58" spans="1:212" ht="20.100000000000001" customHeight="1">
      <c r="A58" s="1141" t="s">
        <v>854</v>
      </c>
      <c r="B58" s="1142"/>
      <c r="C58" s="1142"/>
      <c r="D58" s="1142"/>
      <c r="E58" s="1143"/>
      <c r="F58" s="1144"/>
      <c r="G58" s="1145"/>
      <c r="H58" s="1146"/>
      <c r="I58" s="1147"/>
      <c r="J58" s="1146"/>
      <c r="K58" s="1147"/>
      <c r="L58" s="1146"/>
      <c r="M58" s="1147"/>
      <c r="N58" s="1146"/>
      <c r="O58" s="1147"/>
      <c r="P58" s="1146"/>
      <c r="Q58" s="1147"/>
      <c r="R58" s="1146"/>
      <c r="S58" s="1147"/>
      <c r="T58" s="1146"/>
      <c r="U58" s="1147"/>
      <c r="V58" s="1146"/>
      <c r="W58" s="1147"/>
      <c r="X58" s="1146">
        <v>0</v>
      </c>
      <c r="Y58" s="1147"/>
      <c r="Z58" s="1146">
        <v>0</v>
      </c>
      <c r="AA58" s="1147"/>
      <c r="AB58" s="1146">
        <v>0</v>
      </c>
      <c r="AC58" s="1147"/>
      <c r="AD58" s="1146">
        <v>0</v>
      </c>
      <c r="AE58" s="1147"/>
      <c r="AF58" s="1146">
        <v>0</v>
      </c>
      <c r="AG58" s="1147"/>
      <c r="AH58" s="1146">
        <v>0</v>
      </c>
      <c r="AI58" s="1147"/>
      <c r="AJ58" s="1146">
        <v>0</v>
      </c>
      <c r="AK58" s="1147"/>
      <c r="AL58" s="1146">
        <v>0</v>
      </c>
      <c r="AM58" s="1147"/>
      <c r="AN58" s="1146">
        <v>0</v>
      </c>
      <c r="AO58" s="1147"/>
      <c r="AP58" s="1146">
        <v>0</v>
      </c>
      <c r="AQ58" s="1147"/>
      <c r="AR58" s="1146"/>
      <c r="AS58" s="1147"/>
      <c r="AT58" s="1146"/>
      <c r="AU58" s="1147"/>
      <c r="AV58" s="1146"/>
      <c r="AW58" s="1147"/>
      <c r="AX58" s="1146"/>
      <c r="AY58" s="1147"/>
      <c r="AZ58" s="1146"/>
      <c r="BA58" s="1147"/>
      <c r="BB58" s="548"/>
      <c r="BC58" s="550"/>
      <c r="BD58" s="1141" t="s">
        <v>771</v>
      </c>
      <c r="BE58" s="1142"/>
      <c r="BF58" s="1142"/>
      <c r="BG58" s="1142"/>
      <c r="BH58" s="1143"/>
      <c r="BI58" s="1144"/>
      <c r="BJ58" s="1145"/>
      <c r="BK58" s="1146"/>
      <c r="BL58" s="1147"/>
      <c r="BM58" s="1146"/>
      <c r="BN58" s="1147"/>
      <c r="BO58" s="1146"/>
      <c r="BP58" s="1147"/>
      <c r="BQ58" s="1146"/>
      <c r="BR58" s="1147"/>
      <c r="BS58" s="1146"/>
      <c r="BT58" s="1147"/>
      <c r="BU58" s="1146"/>
      <c r="BV58" s="1147"/>
      <c r="BW58" s="1146"/>
      <c r="BX58" s="1147"/>
      <c r="BY58" s="1146"/>
      <c r="BZ58" s="1147"/>
      <c r="CA58" s="1146">
        <v>0</v>
      </c>
      <c r="CB58" s="1147"/>
      <c r="CC58" s="1146">
        <v>0</v>
      </c>
      <c r="CD58" s="1147"/>
      <c r="CE58" s="1146">
        <v>0</v>
      </c>
      <c r="CF58" s="1147"/>
      <c r="CG58" s="1146">
        <v>0</v>
      </c>
      <c r="CH58" s="1147"/>
      <c r="CI58" s="1146">
        <v>0</v>
      </c>
      <c r="CJ58" s="1147"/>
      <c r="CK58" s="1146">
        <v>0</v>
      </c>
      <c r="CL58" s="1147"/>
      <c r="CM58" s="1146">
        <v>0</v>
      </c>
      <c r="CN58" s="1147"/>
      <c r="CO58" s="1146">
        <v>0</v>
      </c>
      <c r="CP58" s="1147"/>
      <c r="CQ58" s="1146">
        <v>0</v>
      </c>
      <c r="CR58" s="1147"/>
      <c r="CS58" s="1146">
        <v>0</v>
      </c>
      <c r="CT58" s="1147"/>
      <c r="CU58" s="1146"/>
      <c r="CV58" s="1147"/>
      <c r="CW58" s="1146"/>
      <c r="CX58" s="1147"/>
      <c r="CY58" s="1146"/>
      <c r="CZ58" s="1147"/>
      <c r="DA58" s="1146"/>
      <c r="DB58" s="1147"/>
      <c r="DC58" s="1146"/>
      <c r="DD58" s="1147"/>
      <c r="DE58" s="548"/>
      <c r="DF58" s="549"/>
      <c r="DG58" s="1141" t="s">
        <v>771</v>
      </c>
      <c r="DH58" s="1142"/>
      <c r="DI58" s="1142"/>
      <c r="DJ58" s="1142"/>
      <c r="DK58" s="1143"/>
      <c r="DL58" s="1144"/>
      <c r="DM58" s="1145"/>
      <c r="DN58" s="1146"/>
      <c r="DO58" s="1147"/>
      <c r="DP58" s="1146"/>
      <c r="DQ58" s="1147"/>
      <c r="DR58" s="1146"/>
      <c r="DS58" s="1147"/>
      <c r="DT58" s="1146"/>
      <c r="DU58" s="1147"/>
      <c r="DV58" s="1146"/>
      <c r="DW58" s="1147"/>
      <c r="DX58" s="1146"/>
      <c r="DY58" s="1147"/>
      <c r="DZ58" s="1146"/>
      <c r="EA58" s="1147"/>
      <c r="EB58" s="1146"/>
      <c r="EC58" s="1147"/>
      <c r="ED58" s="1146">
        <v>0</v>
      </c>
      <c r="EE58" s="1147"/>
      <c r="EF58" s="1146">
        <v>0</v>
      </c>
      <c r="EG58" s="1147"/>
      <c r="EH58" s="1146">
        <v>0</v>
      </c>
      <c r="EI58" s="1147"/>
      <c r="EJ58" s="1146">
        <v>0</v>
      </c>
      <c r="EK58" s="1147"/>
      <c r="EL58" s="1146">
        <v>0</v>
      </c>
      <c r="EM58" s="1147"/>
      <c r="EN58" s="1146">
        <v>0</v>
      </c>
      <c r="EO58" s="1147"/>
      <c r="EP58" s="1146">
        <v>0</v>
      </c>
      <c r="EQ58" s="1147"/>
      <c r="ER58" s="1146">
        <v>0</v>
      </c>
      <c r="ES58" s="1147"/>
      <c r="ET58" s="1146">
        <v>0</v>
      </c>
      <c r="EU58" s="1147"/>
      <c r="EV58" s="1146">
        <v>0</v>
      </c>
      <c r="EW58" s="1147"/>
      <c r="EX58" s="1146"/>
      <c r="EY58" s="1147"/>
      <c r="EZ58" s="1146"/>
      <c r="FA58" s="1147"/>
      <c r="FB58" s="1146"/>
      <c r="FC58" s="1147"/>
      <c r="FD58" s="1146"/>
      <c r="FE58" s="1147"/>
      <c r="FF58" s="1146"/>
      <c r="FG58" s="1147"/>
      <c r="FH58" s="548"/>
      <c r="FI58" s="550"/>
      <c r="FJ58" s="1141" t="s">
        <v>771</v>
      </c>
      <c r="FK58" s="1142"/>
      <c r="FL58" s="1142"/>
      <c r="FM58" s="1142"/>
      <c r="FN58" s="1143"/>
      <c r="FO58" s="1144"/>
      <c r="FP58" s="1148"/>
      <c r="FQ58" s="1149"/>
      <c r="FR58" s="1146">
        <v>0</v>
      </c>
      <c r="FS58" s="1150"/>
      <c r="FT58" s="1149"/>
      <c r="FU58" s="1151">
        <v>0</v>
      </c>
      <c r="FV58" s="1152"/>
      <c r="FW58" s="1153"/>
      <c r="FX58" s="1154"/>
      <c r="FY58" s="1153"/>
      <c r="FZ58" s="1154"/>
      <c r="GA58" s="1153"/>
      <c r="GB58" s="1154"/>
      <c r="GC58" s="1153"/>
      <c r="GD58" s="1154"/>
      <c r="GE58" s="1155"/>
      <c r="GF58" s="671"/>
      <c r="GG58" s="589"/>
      <c r="GH58" s="589"/>
      <c r="GI58" s="589"/>
      <c r="GJ58" s="932"/>
      <c r="GK58" s="1156"/>
      <c r="GL58" s="1079">
        <v>15</v>
      </c>
      <c r="GM58" s="1080">
        <v>6</v>
      </c>
      <c r="GN58" s="1081">
        <v>0.61</v>
      </c>
      <c r="GO58" s="1082">
        <v>2.8</v>
      </c>
      <c r="GP58" s="1082">
        <v>0</v>
      </c>
      <c r="GQ58" s="1083">
        <v>2.8</v>
      </c>
      <c r="GR58" s="932"/>
      <c r="GS58" s="517"/>
      <c r="GT58" s="672"/>
      <c r="GU58" s="487"/>
      <c r="GV58" s="565"/>
      <c r="GW58" s="487"/>
      <c r="GX58" s="1246"/>
      <c r="GY58" s="1244"/>
      <c r="GZ58" s="566"/>
      <c r="HA58" s="565"/>
      <c r="HB58" s="487"/>
      <c r="HC58" s="549"/>
      <c r="HD58" s="1157"/>
    </row>
    <row r="59" spans="1:212" ht="20.100000000000001" customHeight="1">
      <c r="A59" s="1158" t="s">
        <v>772</v>
      </c>
      <c r="B59" s="1159"/>
      <c r="C59" s="1159"/>
      <c r="D59" s="1160"/>
      <c r="E59" s="1161"/>
      <c r="F59" s="1000"/>
      <c r="G59" s="1162">
        <v>0</v>
      </c>
      <c r="H59" s="572">
        <v>0</v>
      </c>
      <c r="I59" s="1163">
        <v>0</v>
      </c>
      <c r="J59" s="574">
        <v>0</v>
      </c>
      <c r="K59" s="1163">
        <v>0</v>
      </c>
      <c r="L59" s="574">
        <v>0</v>
      </c>
      <c r="M59" s="1163">
        <v>0</v>
      </c>
      <c r="N59" s="574">
        <v>0</v>
      </c>
      <c r="O59" s="1163">
        <v>0</v>
      </c>
      <c r="P59" s="574">
        <v>0</v>
      </c>
      <c r="Q59" s="1163">
        <v>0</v>
      </c>
      <c r="R59" s="574">
        <v>0</v>
      </c>
      <c r="S59" s="1163">
        <v>0</v>
      </c>
      <c r="T59" s="574">
        <v>0</v>
      </c>
      <c r="U59" s="1163">
        <v>0</v>
      </c>
      <c r="V59" s="574">
        <v>0</v>
      </c>
      <c r="W59" s="1163">
        <v>0</v>
      </c>
      <c r="X59" s="574">
        <v>0</v>
      </c>
      <c r="Y59" s="1163">
        <v>0</v>
      </c>
      <c r="Z59" s="574">
        <v>0</v>
      </c>
      <c r="AA59" s="1163">
        <v>0</v>
      </c>
      <c r="AB59" s="574">
        <v>0</v>
      </c>
      <c r="AC59" s="1163">
        <v>0</v>
      </c>
      <c r="AD59" s="574">
        <v>0</v>
      </c>
      <c r="AE59" s="1163">
        <v>0</v>
      </c>
      <c r="AF59" s="574">
        <v>0</v>
      </c>
      <c r="AG59" s="1163">
        <v>0</v>
      </c>
      <c r="AH59" s="574">
        <v>0</v>
      </c>
      <c r="AI59" s="1163">
        <v>0</v>
      </c>
      <c r="AJ59" s="574">
        <v>0</v>
      </c>
      <c r="AK59" s="1163">
        <v>0</v>
      </c>
      <c r="AL59" s="574">
        <v>0</v>
      </c>
      <c r="AM59" s="1163">
        <v>0</v>
      </c>
      <c r="AN59" s="574">
        <v>0</v>
      </c>
      <c r="AO59" s="1163">
        <v>0</v>
      </c>
      <c r="AP59" s="574">
        <v>0</v>
      </c>
      <c r="AQ59" s="1163">
        <v>0</v>
      </c>
      <c r="AR59" s="574">
        <v>0</v>
      </c>
      <c r="AS59" s="1163">
        <v>0</v>
      </c>
      <c r="AT59" s="574">
        <v>0</v>
      </c>
      <c r="AU59" s="1163">
        <v>0</v>
      </c>
      <c r="AV59" s="574">
        <v>0</v>
      </c>
      <c r="AW59" s="1163">
        <v>0</v>
      </c>
      <c r="AX59" s="574">
        <v>0</v>
      </c>
      <c r="AY59" s="1163">
        <v>0</v>
      </c>
      <c r="AZ59" s="574">
        <v>0</v>
      </c>
      <c r="BA59" s="1163">
        <v>0</v>
      </c>
      <c r="BB59" s="576">
        <v>0</v>
      </c>
      <c r="BC59" s="550"/>
      <c r="BD59" s="1158" t="s">
        <v>772</v>
      </c>
      <c r="BE59" s="1159"/>
      <c r="BF59" s="1159"/>
      <c r="BG59" s="1160"/>
      <c r="BH59" s="1161"/>
      <c r="BI59" s="1000"/>
      <c r="BJ59" s="1162">
        <v>0</v>
      </c>
      <c r="BK59" s="572">
        <v>0</v>
      </c>
      <c r="BL59" s="1163">
        <v>0</v>
      </c>
      <c r="BM59" s="574">
        <v>0</v>
      </c>
      <c r="BN59" s="1163">
        <v>0</v>
      </c>
      <c r="BO59" s="574">
        <v>0</v>
      </c>
      <c r="BP59" s="1163">
        <v>0</v>
      </c>
      <c r="BQ59" s="574">
        <v>0</v>
      </c>
      <c r="BR59" s="1163">
        <v>0</v>
      </c>
      <c r="BS59" s="574">
        <v>0</v>
      </c>
      <c r="BT59" s="1163">
        <v>0</v>
      </c>
      <c r="BU59" s="574">
        <v>0</v>
      </c>
      <c r="BV59" s="1163">
        <v>0</v>
      </c>
      <c r="BW59" s="574">
        <v>0</v>
      </c>
      <c r="BX59" s="1163">
        <v>0</v>
      </c>
      <c r="BY59" s="574">
        <v>0</v>
      </c>
      <c r="BZ59" s="1163">
        <v>0</v>
      </c>
      <c r="CA59" s="574">
        <v>0</v>
      </c>
      <c r="CB59" s="1163">
        <v>0</v>
      </c>
      <c r="CC59" s="574">
        <v>0</v>
      </c>
      <c r="CD59" s="1163">
        <v>0</v>
      </c>
      <c r="CE59" s="574">
        <v>0</v>
      </c>
      <c r="CF59" s="1163">
        <v>0</v>
      </c>
      <c r="CG59" s="574">
        <v>0</v>
      </c>
      <c r="CH59" s="1163">
        <v>0</v>
      </c>
      <c r="CI59" s="574">
        <v>0</v>
      </c>
      <c r="CJ59" s="1163">
        <v>0</v>
      </c>
      <c r="CK59" s="574">
        <v>0</v>
      </c>
      <c r="CL59" s="1163">
        <v>0</v>
      </c>
      <c r="CM59" s="574">
        <v>0</v>
      </c>
      <c r="CN59" s="1163">
        <v>0</v>
      </c>
      <c r="CO59" s="574">
        <v>0</v>
      </c>
      <c r="CP59" s="1163">
        <v>0</v>
      </c>
      <c r="CQ59" s="574">
        <v>0</v>
      </c>
      <c r="CR59" s="1163">
        <v>0</v>
      </c>
      <c r="CS59" s="574">
        <v>0</v>
      </c>
      <c r="CT59" s="1163">
        <v>0</v>
      </c>
      <c r="CU59" s="574">
        <v>0</v>
      </c>
      <c r="CV59" s="1163">
        <v>0</v>
      </c>
      <c r="CW59" s="574">
        <v>0</v>
      </c>
      <c r="CX59" s="1163">
        <v>0</v>
      </c>
      <c r="CY59" s="574">
        <v>0</v>
      </c>
      <c r="CZ59" s="1163">
        <v>0</v>
      </c>
      <c r="DA59" s="574">
        <v>0</v>
      </c>
      <c r="DB59" s="1163">
        <v>0</v>
      </c>
      <c r="DC59" s="574">
        <v>0</v>
      </c>
      <c r="DD59" s="1163">
        <v>0</v>
      </c>
      <c r="DE59" s="576">
        <v>0</v>
      </c>
      <c r="DF59" s="549"/>
      <c r="DG59" s="1158" t="s">
        <v>772</v>
      </c>
      <c r="DH59" s="1159"/>
      <c r="DI59" s="1159"/>
      <c r="DJ59" s="1160"/>
      <c r="DK59" s="1161"/>
      <c r="DL59" s="1000"/>
      <c r="DM59" s="1162">
        <v>0</v>
      </c>
      <c r="DN59" s="572">
        <v>0</v>
      </c>
      <c r="DO59" s="1163">
        <v>0</v>
      </c>
      <c r="DP59" s="574">
        <v>0</v>
      </c>
      <c r="DQ59" s="1163">
        <v>0</v>
      </c>
      <c r="DR59" s="574">
        <v>0</v>
      </c>
      <c r="DS59" s="1163">
        <v>0</v>
      </c>
      <c r="DT59" s="574">
        <v>0</v>
      </c>
      <c r="DU59" s="1163">
        <v>0</v>
      </c>
      <c r="DV59" s="574">
        <v>0</v>
      </c>
      <c r="DW59" s="1163">
        <v>0</v>
      </c>
      <c r="DX59" s="574">
        <v>0</v>
      </c>
      <c r="DY59" s="1163">
        <v>0</v>
      </c>
      <c r="DZ59" s="574">
        <v>0</v>
      </c>
      <c r="EA59" s="1163">
        <v>0</v>
      </c>
      <c r="EB59" s="574">
        <v>0</v>
      </c>
      <c r="EC59" s="1163">
        <v>0</v>
      </c>
      <c r="ED59" s="574">
        <v>0</v>
      </c>
      <c r="EE59" s="1163">
        <v>0</v>
      </c>
      <c r="EF59" s="574">
        <v>0</v>
      </c>
      <c r="EG59" s="1163">
        <v>0</v>
      </c>
      <c r="EH59" s="574">
        <v>0</v>
      </c>
      <c r="EI59" s="1163">
        <v>0</v>
      </c>
      <c r="EJ59" s="574">
        <v>0</v>
      </c>
      <c r="EK59" s="1163">
        <v>0</v>
      </c>
      <c r="EL59" s="574">
        <v>0</v>
      </c>
      <c r="EM59" s="1163">
        <v>0</v>
      </c>
      <c r="EN59" s="574">
        <v>0</v>
      </c>
      <c r="EO59" s="1163">
        <v>0</v>
      </c>
      <c r="EP59" s="574">
        <v>0</v>
      </c>
      <c r="EQ59" s="1163">
        <v>0</v>
      </c>
      <c r="ER59" s="574">
        <v>0</v>
      </c>
      <c r="ES59" s="1163">
        <v>0</v>
      </c>
      <c r="ET59" s="574">
        <v>0</v>
      </c>
      <c r="EU59" s="1163">
        <v>0</v>
      </c>
      <c r="EV59" s="574">
        <v>0</v>
      </c>
      <c r="EW59" s="1163">
        <v>0</v>
      </c>
      <c r="EX59" s="574">
        <v>0</v>
      </c>
      <c r="EY59" s="1163">
        <v>0</v>
      </c>
      <c r="EZ59" s="574">
        <v>0</v>
      </c>
      <c r="FA59" s="1163">
        <v>0</v>
      </c>
      <c r="FB59" s="574">
        <v>0</v>
      </c>
      <c r="FC59" s="1163">
        <v>0</v>
      </c>
      <c r="FD59" s="574">
        <v>0</v>
      </c>
      <c r="FE59" s="1163">
        <v>0</v>
      </c>
      <c r="FF59" s="574">
        <v>0</v>
      </c>
      <c r="FG59" s="1163">
        <v>0</v>
      </c>
      <c r="FH59" s="576">
        <v>0</v>
      </c>
      <c r="FI59" s="550"/>
      <c r="FJ59" s="1158" t="s">
        <v>772</v>
      </c>
      <c r="FK59" s="1159"/>
      <c r="FL59" s="1159"/>
      <c r="FM59" s="1160"/>
      <c r="FN59" s="1161"/>
      <c r="FO59" s="1000"/>
      <c r="FP59" s="612"/>
      <c r="FQ59" s="1164">
        <v>0</v>
      </c>
      <c r="FR59" s="1165">
        <v>0</v>
      </c>
      <c r="FS59" s="1166"/>
      <c r="FT59" s="1164">
        <v>0</v>
      </c>
      <c r="FU59" s="1167">
        <v>0</v>
      </c>
      <c r="FV59" s="1247" t="s">
        <v>774</v>
      </c>
      <c r="FW59" s="1248"/>
      <c r="FX59" s="1249" t="s">
        <v>774</v>
      </c>
      <c r="FY59" s="1248"/>
      <c r="FZ59" s="1249" t="s">
        <v>774</v>
      </c>
      <c r="GA59" s="1248"/>
      <c r="GB59" s="1249" t="s">
        <v>774</v>
      </c>
      <c r="GC59" s="1248"/>
      <c r="GD59" s="1249" t="s">
        <v>774</v>
      </c>
      <c r="GE59" s="1253"/>
      <c r="GF59" s="671"/>
      <c r="GG59" s="1172"/>
      <c r="GH59" s="1172"/>
      <c r="GI59" s="1172"/>
      <c r="GJ59" s="872"/>
      <c r="GK59" s="400"/>
      <c r="GL59" s="1103">
        <v>16</v>
      </c>
      <c r="GM59" s="1104">
        <v>7</v>
      </c>
      <c r="GN59" s="1081">
        <v>0.56000000000000005</v>
      </c>
      <c r="GO59" s="1082">
        <v>2.6</v>
      </c>
      <c r="GP59" s="1082">
        <v>0</v>
      </c>
      <c r="GQ59" s="1083">
        <v>2.6</v>
      </c>
      <c r="GR59" s="872"/>
      <c r="GS59" s="382"/>
      <c r="GT59" s="1245"/>
      <c r="GU59" s="566"/>
      <c r="GV59" s="487"/>
      <c r="GW59" s="487"/>
      <c r="GX59" s="1246"/>
      <c r="GY59" s="1244"/>
      <c r="GZ59" s="566"/>
      <c r="HA59" s="565"/>
      <c r="HB59" s="487"/>
      <c r="HC59" s="1157"/>
      <c r="HD59" s="1173"/>
    </row>
    <row r="60" spans="1:212" ht="20.100000000000001" customHeight="1">
      <c r="A60" s="1158"/>
      <c r="B60" s="1159"/>
      <c r="C60" s="1159"/>
      <c r="D60" s="1174"/>
      <c r="E60" s="1174"/>
      <c r="F60" s="1175">
        <v>0</v>
      </c>
      <c r="G60" s="571"/>
      <c r="H60" s="572"/>
      <c r="I60" s="575"/>
      <c r="J60" s="574"/>
      <c r="K60" s="575"/>
      <c r="L60" s="574"/>
      <c r="M60" s="575"/>
      <c r="N60" s="574"/>
      <c r="O60" s="575"/>
      <c r="P60" s="574"/>
      <c r="Q60" s="575"/>
      <c r="R60" s="574"/>
      <c r="S60" s="575"/>
      <c r="T60" s="574"/>
      <c r="U60" s="575"/>
      <c r="V60" s="574"/>
      <c r="W60" s="575"/>
      <c r="X60" s="574">
        <v>0</v>
      </c>
      <c r="Y60" s="575"/>
      <c r="Z60" s="574">
        <v>0</v>
      </c>
      <c r="AA60" s="575"/>
      <c r="AB60" s="574">
        <v>0</v>
      </c>
      <c r="AC60" s="575"/>
      <c r="AD60" s="574">
        <v>0</v>
      </c>
      <c r="AE60" s="575"/>
      <c r="AF60" s="574">
        <v>0</v>
      </c>
      <c r="AG60" s="575"/>
      <c r="AH60" s="574">
        <v>0</v>
      </c>
      <c r="AI60" s="575"/>
      <c r="AJ60" s="574">
        <v>0</v>
      </c>
      <c r="AK60" s="575"/>
      <c r="AL60" s="574">
        <v>0</v>
      </c>
      <c r="AM60" s="575"/>
      <c r="AN60" s="574">
        <v>0</v>
      </c>
      <c r="AO60" s="575"/>
      <c r="AP60" s="574">
        <v>0</v>
      </c>
      <c r="AQ60" s="575"/>
      <c r="AR60" s="574"/>
      <c r="AS60" s="575"/>
      <c r="AT60" s="574"/>
      <c r="AU60" s="575"/>
      <c r="AV60" s="574"/>
      <c r="AW60" s="575"/>
      <c r="AX60" s="574"/>
      <c r="AY60" s="575"/>
      <c r="AZ60" s="574"/>
      <c r="BA60" s="575"/>
      <c r="BB60" s="576"/>
      <c r="BC60" s="550"/>
      <c r="BD60" s="1158"/>
      <c r="BE60" s="1159"/>
      <c r="BF60" s="1159"/>
      <c r="BG60" s="1174"/>
      <c r="BH60" s="1174"/>
      <c r="BI60" s="1175"/>
      <c r="BJ60" s="571"/>
      <c r="BK60" s="572"/>
      <c r="BL60" s="575"/>
      <c r="BM60" s="574"/>
      <c r="BN60" s="575"/>
      <c r="BO60" s="574"/>
      <c r="BP60" s="575"/>
      <c r="BQ60" s="574"/>
      <c r="BR60" s="575"/>
      <c r="BS60" s="574"/>
      <c r="BT60" s="575"/>
      <c r="BU60" s="574"/>
      <c r="BV60" s="575"/>
      <c r="BW60" s="574"/>
      <c r="BX60" s="575"/>
      <c r="BY60" s="574"/>
      <c r="BZ60" s="575"/>
      <c r="CA60" s="574">
        <v>0</v>
      </c>
      <c r="CB60" s="575"/>
      <c r="CC60" s="574">
        <v>0</v>
      </c>
      <c r="CD60" s="575"/>
      <c r="CE60" s="574">
        <v>0</v>
      </c>
      <c r="CF60" s="575"/>
      <c r="CG60" s="574">
        <v>0</v>
      </c>
      <c r="CH60" s="575"/>
      <c r="CI60" s="574">
        <v>0</v>
      </c>
      <c r="CJ60" s="575"/>
      <c r="CK60" s="574">
        <v>0</v>
      </c>
      <c r="CL60" s="575"/>
      <c r="CM60" s="574">
        <v>0</v>
      </c>
      <c r="CN60" s="575"/>
      <c r="CO60" s="574">
        <v>0</v>
      </c>
      <c r="CP60" s="575"/>
      <c r="CQ60" s="574">
        <v>0</v>
      </c>
      <c r="CR60" s="575"/>
      <c r="CS60" s="574">
        <v>0</v>
      </c>
      <c r="CT60" s="575"/>
      <c r="CU60" s="574"/>
      <c r="CV60" s="575"/>
      <c r="CW60" s="574"/>
      <c r="CX60" s="575"/>
      <c r="CY60" s="574"/>
      <c r="CZ60" s="575"/>
      <c r="DA60" s="574"/>
      <c r="DB60" s="575"/>
      <c r="DC60" s="574"/>
      <c r="DD60" s="575"/>
      <c r="DE60" s="576"/>
      <c r="DF60" s="549"/>
      <c r="DG60" s="1158"/>
      <c r="DH60" s="1159"/>
      <c r="DI60" s="1159"/>
      <c r="DJ60" s="1174"/>
      <c r="DK60" s="1174"/>
      <c r="DL60" s="1175"/>
      <c r="DM60" s="571"/>
      <c r="DN60" s="572"/>
      <c r="DO60" s="575"/>
      <c r="DP60" s="574"/>
      <c r="DQ60" s="575"/>
      <c r="DR60" s="574"/>
      <c r="DS60" s="575"/>
      <c r="DT60" s="574"/>
      <c r="DU60" s="575"/>
      <c r="DV60" s="574"/>
      <c r="DW60" s="575"/>
      <c r="DX60" s="574"/>
      <c r="DY60" s="575"/>
      <c r="DZ60" s="574"/>
      <c r="EA60" s="575"/>
      <c r="EB60" s="574"/>
      <c r="EC60" s="575"/>
      <c r="ED60" s="574">
        <v>0</v>
      </c>
      <c r="EE60" s="575"/>
      <c r="EF60" s="574">
        <v>0</v>
      </c>
      <c r="EG60" s="575"/>
      <c r="EH60" s="574">
        <v>0</v>
      </c>
      <c r="EI60" s="575"/>
      <c r="EJ60" s="574">
        <v>0</v>
      </c>
      <c r="EK60" s="575"/>
      <c r="EL60" s="574">
        <v>0</v>
      </c>
      <c r="EM60" s="575"/>
      <c r="EN60" s="574">
        <v>0</v>
      </c>
      <c r="EO60" s="575"/>
      <c r="EP60" s="574">
        <v>0</v>
      </c>
      <c r="EQ60" s="575"/>
      <c r="ER60" s="574">
        <v>0</v>
      </c>
      <c r="ES60" s="575"/>
      <c r="ET60" s="574">
        <v>0</v>
      </c>
      <c r="EU60" s="575"/>
      <c r="EV60" s="574">
        <v>0</v>
      </c>
      <c r="EW60" s="575"/>
      <c r="EX60" s="574"/>
      <c r="EY60" s="575"/>
      <c r="EZ60" s="574"/>
      <c r="FA60" s="575"/>
      <c r="FB60" s="574"/>
      <c r="FC60" s="575"/>
      <c r="FD60" s="574"/>
      <c r="FE60" s="575"/>
      <c r="FF60" s="574"/>
      <c r="FG60" s="575"/>
      <c r="FH60" s="576"/>
      <c r="FI60" s="550"/>
      <c r="FJ60" s="1158"/>
      <c r="FK60" s="1159"/>
      <c r="FL60" s="1159"/>
      <c r="FM60" s="1176"/>
      <c r="FN60" s="1177"/>
      <c r="FO60" s="1000"/>
      <c r="FP60" s="612"/>
      <c r="FQ60" s="608"/>
      <c r="FR60" s="1165"/>
      <c r="FS60" s="1166"/>
      <c r="FT60" s="608"/>
      <c r="FU60" s="1167"/>
      <c r="FV60" s="1168"/>
      <c r="FW60" s="1169"/>
      <c r="FX60" s="1170"/>
      <c r="FY60" s="1169"/>
      <c r="FZ60" s="1170"/>
      <c r="GA60" s="1169"/>
      <c r="GB60" s="1170"/>
      <c r="GC60" s="1169"/>
      <c r="GD60" s="1170"/>
      <c r="GE60" s="1171"/>
      <c r="GF60" s="671"/>
      <c r="GG60" s="382"/>
      <c r="GH60" s="382"/>
      <c r="GI60" s="382"/>
      <c r="GJ60" s="382"/>
      <c r="GK60" s="382"/>
      <c r="GL60" s="1079">
        <v>17</v>
      </c>
      <c r="GM60" s="1080">
        <v>8</v>
      </c>
      <c r="GN60" s="1081">
        <v>0.51</v>
      </c>
      <c r="GO60" s="1082">
        <v>2.2999999999999998</v>
      </c>
      <c r="GP60" s="1082">
        <v>0</v>
      </c>
      <c r="GQ60" s="1083">
        <v>2.2999999999999998</v>
      </c>
      <c r="GR60" s="382"/>
      <c r="GS60" s="470"/>
      <c r="GT60" s="1245"/>
      <c r="GU60" s="487"/>
      <c r="GV60" s="566"/>
      <c r="GW60" s="487"/>
      <c r="GX60" s="566"/>
      <c r="GY60" s="487"/>
      <c r="GZ60" s="487"/>
      <c r="HA60" s="565"/>
      <c r="HB60" s="487"/>
      <c r="HC60" s="1178"/>
      <c r="HD60" s="1017"/>
    </row>
    <row r="61" spans="1:212" ht="20.100000000000001" customHeight="1">
      <c r="A61" s="1179" t="s">
        <v>775</v>
      </c>
      <c r="B61" s="1180"/>
      <c r="C61" s="1180"/>
      <c r="D61" s="1180"/>
      <c r="E61" s="1180"/>
      <c r="F61" s="1181"/>
      <c r="G61" s="1182"/>
      <c r="H61" s="1183">
        <v>0</v>
      </c>
      <c r="I61" s="1184"/>
      <c r="J61" s="1185">
        <v>0</v>
      </c>
      <c r="K61" s="1184"/>
      <c r="L61" s="1185">
        <v>0</v>
      </c>
      <c r="M61" s="1184"/>
      <c r="N61" s="1185">
        <v>0</v>
      </c>
      <c r="O61" s="1184"/>
      <c r="P61" s="1185">
        <v>0</v>
      </c>
      <c r="Q61" s="1184"/>
      <c r="R61" s="1185">
        <v>0</v>
      </c>
      <c r="S61" s="1184"/>
      <c r="T61" s="1185">
        <v>0</v>
      </c>
      <c r="U61" s="1184"/>
      <c r="V61" s="1185">
        <v>0</v>
      </c>
      <c r="W61" s="1184"/>
      <c r="X61" s="1185">
        <v>3425</v>
      </c>
      <c r="Y61" s="1184"/>
      <c r="Z61" s="1185">
        <v>3380</v>
      </c>
      <c r="AA61" s="1184"/>
      <c r="AB61" s="1185">
        <v>3431</v>
      </c>
      <c r="AC61" s="1184"/>
      <c r="AD61" s="1185">
        <v>3440</v>
      </c>
      <c r="AE61" s="1184"/>
      <c r="AF61" s="1185">
        <v>3449</v>
      </c>
      <c r="AG61" s="1184"/>
      <c r="AH61" s="1185">
        <v>3438</v>
      </c>
      <c r="AI61" s="1184"/>
      <c r="AJ61" s="1185">
        <v>3388</v>
      </c>
      <c r="AK61" s="1184"/>
      <c r="AL61" s="1185">
        <v>3359</v>
      </c>
      <c r="AM61" s="1184"/>
      <c r="AN61" s="1185">
        <v>3284</v>
      </c>
      <c r="AO61" s="1184"/>
      <c r="AP61" s="1185">
        <v>3237</v>
      </c>
      <c r="AQ61" s="1184"/>
      <c r="AR61" s="1185">
        <v>0</v>
      </c>
      <c r="AS61" s="1184"/>
      <c r="AT61" s="1185">
        <v>0</v>
      </c>
      <c r="AU61" s="1184"/>
      <c r="AV61" s="1185">
        <v>0</v>
      </c>
      <c r="AW61" s="1184"/>
      <c r="AX61" s="1185">
        <v>0</v>
      </c>
      <c r="AY61" s="1184"/>
      <c r="AZ61" s="1185">
        <v>0</v>
      </c>
      <c r="BA61" s="1184"/>
      <c r="BB61" s="1186">
        <v>0</v>
      </c>
      <c r="BC61" s="550"/>
      <c r="BD61" s="1179" t="s">
        <v>775</v>
      </c>
      <c r="BE61" s="1180"/>
      <c r="BF61" s="1180"/>
      <c r="BG61" s="1180"/>
      <c r="BH61" s="1180"/>
      <c r="BI61" s="1181"/>
      <c r="BJ61" s="1182"/>
      <c r="BK61" s="1183">
        <v>0</v>
      </c>
      <c r="BL61" s="1184"/>
      <c r="BM61" s="1185">
        <v>0</v>
      </c>
      <c r="BN61" s="1184"/>
      <c r="BO61" s="1185">
        <v>0</v>
      </c>
      <c r="BP61" s="1184"/>
      <c r="BQ61" s="1185">
        <v>0</v>
      </c>
      <c r="BR61" s="1184"/>
      <c r="BS61" s="1185">
        <v>0</v>
      </c>
      <c r="BT61" s="1184"/>
      <c r="BU61" s="1185">
        <v>0</v>
      </c>
      <c r="BV61" s="1184"/>
      <c r="BW61" s="1185">
        <v>0</v>
      </c>
      <c r="BX61" s="1184"/>
      <c r="BY61" s="1185">
        <v>0</v>
      </c>
      <c r="BZ61" s="1184"/>
      <c r="CA61" s="1185">
        <v>3404</v>
      </c>
      <c r="CB61" s="1184"/>
      <c r="CC61" s="1185">
        <v>3359</v>
      </c>
      <c r="CD61" s="1184"/>
      <c r="CE61" s="1185">
        <v>3410</v>
      </c>
      <c r="CF61" s="1184"/>
      <c r="CG61" s="1185">
        <v>3419</v>
      </c>
      <c r="CH61" s="1184"/>
      <c r="CI61" s="1185">
        <v>3428</v>
      </c>
      <c r="CJ61" s="1184"/>
      <c r="CK61" s="1185">
        <v>3396</v>
      </c>
      <c r="CL61" s="1184"/>
      <c r="CM61" s="1185">
        <v>3367</v>
      </c>
      <c r="CN61" s="1184"/>
      <c r="CO61" s="1185">
        <v>3317</v>
      </c>
      <c r="CP61" s="1184"/>
      <c r="CQ61" s="1185">
        <v>3284</v>
      </c>
      <c r="CR61" s="1184"/>
      <c r="CS61" s="1185">
        <v>3216</v>
      </c>
      <c r="CT61" s="1184"/>
      <c r="CU61" s="1185">
        <v>0</v>
      </c>
      <c r="CV61" s="1184"/>
      <c r="CW61" s="1185">
        <v>0</v>
      </c>
      <c r="CX61" s="1184"/>
      <c r="CY61" s="1185">
        <v>0</v>
      </c>
      <c r="CZ61" s="1184"/>
      <c r="DA61" s="1185">
        <v>0</v>
      </c>
      <c r="DB61" s="1184"/>
      <c r="DC61" s="1185">
        <v>0</v>
      </c>
      <c r="DD61" s="1184"/>
      <c r="DE61" s="1186">
        <v>0</v>
      </c>
      <c r="DF61" s="549"/>
      <c r="DG61" s="1179" t="s">
        <v>775</v>
      </c>
      <c r="DH61" s="1180"/>
      <c r="DI61" s="1180"/>
      <c r="DJ61" s="1180"/>
      <c r="DK61" s="1180"/>
      <c r="DL61" s="1181"/>
      <c r="DM61" s="1182"/>
      <c r="DN61" s="1183">
        <v>0</v>
      </c>
      <c r="DO61" s="1184"/>
      <c r="DP61" s="1185">
        <v>0</v>
      </c>
      <c r="DQ61" s="1184"/>
      <c r="DR61" s="1185">
        <v>0</v>
      </c>
      <c r="DS61" s="1184"/>
      <c r="DT61" s="1185">
        <v>0</v>
      </c>
      <c r="DU61" s="1184"/>
      <c r="DV61" s="1185">
        <v>0</v>
      </c>
      <c r="DW61" s="1184"/>
      <c r="DX61" s="1185">
        <v>0</v>
      </c>
      <c r="DY61" s="1184"/>
      <c r="DZ61" s="1185">
        <v>0</v>
      </c>
      <c r="EA61" s="1184"/>
      <c r="EB61" s="1185">
        <v>0</v>
      </c>
      <c r="EC61" s="1184"/>
      <c r="ED61" s="1185">
        <v>3257</v>
      </c>
      <c r="EE61" s="1184"/>
      <c r="EF61" s="1185">
        <v>3232</v>
      </c>
      <c r="EG61" s="1184"/>
      <c r="EH61" s="1185">
        <v>3283</v>
      </c>
      <c r="EI61" s="1184"/>
      <c r="EJ61" s="1185">
        <v>3313</v>
      </c>
      <c r="EK61" s="1184"/>
      <c r="EL61" s="1185">
        <v>3301</v>
      </c>
      <c r="EM61" s="1184"/>
      <c r="EN61" s="1185">
        <v>3269</v>
      </c>
      <c r="EO61" s="1184"/>
      <c r="EP61" s="1185">
        <v>3240</v>
      </c>
      <c r="EQ61" s="1184"/>
      <c r="ER61" s="1185">
        <v>3211</v>
      </c>
      <c r="ES61" s="1184"/>
      <c r="ET61" s="1185">
        <v>3136</v>
      </c>
      <c r="EU61" s="1184"/>
      <c r="EV61" s="1185">
        <v>3069</v>
      </c>
      <c r="EW61" s="1184"/>
      <c r="EX61" s="1185">
        <v>0</v>
      </c>
      <c r="EY61" s="1184"/>
      <c r="EZ61" s="1185">
        <v>0</v>
      </c>
      <c r="FA61" s="1184"/>
      <c r="FB61" s="1185">
        <v>0</v>
      </c>
      <c r="FC61" s="1184"/>
      <c r="FD61" s="1185">
        <v>0</v>
      </c>
      <c r="FE61" s="1184"/>
      <c r="FF61" s="1185">
        <v>0</v>
      </c>
      <c r="FG61" s="1184"/>
      <c r="FH61" s="1186">
        <v>0</v>
      </c>
      <c r="FI61" s="550"/>
      <c r="FJ61" s="1179" t="s">
        <v>775</v>
      </c>
      <c r="FK61" s="1180"/>
      <c r="FL61" s="1180"/>
      <c r="FM61" s="1180"/>
      <c r="FN61" s="1180"/>
      <c r="FO61" s="1180"/>
      <c r="FP61" s="1187"/>
      <c r="FQ61" s="1188"/>
      <c r="FR61" s="1189">
        <v>1399</v>
      </c>
      <c r="FS61" s="1190"/>
      <c r="FT61" s="1188"/>
      <c r="FU61" s="1191">
        <v>1419</v>
      </c>
      <c r="FV61" s="1250" t="s">
        <v>774</v>
      </c>
      <c r="FW61" s="1251"/>
      <c r="FX61" s="1252" t="s">
        <v>774</v>
      </c>
      <c r="FY61" s="1251"/>
      <c r="FZ61" s="1252" t="s">
        <v>774</v>
      </c>
      <c r="GA61" s="1251"/>
      <c r="GB61" s="1252" t="s">
        <v>774</v>
      </c>
      <c r="GC61" s="1251"/>
      <c r="GD61" s="1252" t="s">
        <v>774</v>
      </c>
      <c r="GE61" s="1254"/>
      <c r="GF61" s="671"/>
      <c r="GG61" s="470"/>
      <c r="GH61" s="470"/>
      <c r="GI61" s="470"/>
      <c r="GJ61" s="470"/>
      <c r="GK61" s="473"/>
      <c r="GL61" s="1103">
        <v>18</v>
      </c>
      <c r="GM61" s="1192">
        <v>9</v>
      </c>
      <c r="GN61" s="1081">
        <v>0.47</v>
      </c>
      <c r="GO61" s="1082">
        <v>2.2000000000000002</v>
      </c>
      <c r="GP61" s="1082">
        <v>0</v>
      </c>
      <c r="GQ61" s="1083">
        <v>2.2000000000000002</v>
      </c>
      <c r="GR61" s="470"/>
      <c r="GS61" s="567"/>
      <c r="GT61" s="1245"/>
      <c r="GU61" s="672"/>
      <c r="GV61" s="672"/>
      <c r="GW61" s="672"/>
      <c r="GX61" s="672"/>
      <c r="GY61" s="566"/>
      <c r="GZ61" s="487"/>
      <c r="HA61" s="566"/>
      <c r="HB61" s="487"/>
    </row>
    <row r="62" spans="1:212" ht="20.100000000000001" customHeight="1" thickBot="1">
      <c r="A62" s="1194"/>
      <c r="B62" s="1194"/>
      <c r="C62" s="1194"/>
      <c r="D62" s="1194"/>
      <c r="E62" s="1194"/>
      <c r="F62" s="1194"/>
      <c r="G62" s="1194"/>
      <c r="H62" s="1194"/>
      <c r="I62" s="1194"/>
      <c r="J62" s="1194"/>
      <c r="K62" s="1194"/>
      <c r="L62" s="1194"/>
      <c r="M62" s="1194"/>
      <c r="N62" s="1194"/>
      <c r="O62" s="1194"/>
      <c r="P62" s="1194"/>
      <c r="Q62" s="1194"/>
      <c r="R62" s="1194"/>
      <c r="S62" s="1194"/>
      <c r="T62" s="1194"/>
      <c r="U62" s="1194"/>
      <c r="V62" s="1194"/>
      <c r="W62" s="1194"/>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194"/>
      <c r="AS62" s="1194"/>
      <c r="AT62" s="1194"/>
      <c r="AU62" s="1194"/>
      <c r="AV62" s="1194"/>
      <c r="AW62" s="1194"/>
      <c r="AX62" s="1194"/>
      <c r="AY62" s="1194"/>
      <c r="AZ62" s="1194"/>
      <c r="BA62" s="1194"/>
      <c r="BB62" s="1194"/>
      <c r="BC62" s="380"/>
      <c r="BD62" s="1194"/>
      <c r="BE62" s="1194"/>
      <c r="BF62" s="1194"/>
      <c r="BG62" s="1194"/>
      <c r="BH62" s="1194"/>
      <c r="BI62" s="1194"/>
      <c r="BJ62" s="1194"/>
      <c r="BK62" s="1194"/>
      <c r="BL62" s="1194"/>
      <c r="BM62" s="1194"/>
      <c r="BN62" s="1194"/>
      <c r="BO62" s="1194"/>
      <c r="BP62" s="1194"/>
      <c r="BQ62" s="1194"/>
      <c r="BR62" s="1194"/>
      <c r="BS62" s="1194"/>
      <c r="BT62" s="1194"/>
      <c r="BU62" s="1194"/>
      <c r="BV62" s="1194"/>
      <c r="BW62" s="1194"/>
      <c r="BX62" s="1194"/>
      <c r="BY62" s="1194"/>
      <c r="BZ62" s="1194"/>
      <c r="CA62" s="1194"/>
      <c r="CB62" s="1194"/>
      <c r="CC62" s="1194"/>
      <c r="CD62" s="1194"/>
      <c r="CE62" s="1194"/>
      <c r="CF62" s="1194"/>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380"/>
      <c r="DG62" s="1194"/>
      <c r="DH62" s="1194"/>
      <c r="DI62" s="1194"/>
      <c r="DJ62" s="1194"/>
      <c r="DK62" s="1194"/>
      <c r="DL62" s="1194"/>
      <c r="DM62" s="1194"/>
      <c r="DN62" s="1194"/>
      <c r="DO62" s="1194"/>
      <c r="DP62" s="1194"/>
      <c r="DQ62" s="1194"/>
      <c r="DR62" s="1194"/>
      <c r="DS62" s="1194"/>
      <c r="DT62" s="1194"/>
      <c r="DU62" s="1194"/>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c r="FH62" s="1194"/>
      <c r="FI62" s="380"/>
      <c r="FJ62" s="1194"/>
      <c r="FK62" s="1194"/>
      <c r="FL62" s="1194"/>
      <c r="FM62" s="1194"/>
      <c r="FN62" s="1194"/>
      <c r="FO62" s="1194"/>
      <c r="FP62" s="1194"/>
      <c r="FQ62" s="1194"/>
      <c r="FR62" s="1194"/>
      <c r="FS62" s="1194"/>
      <c r="FT62" s="1194"/>
      <c r="FU62" s="1194"/>
      <c r="FV62" s="1194"/>
      <c r="FW62" s="1194"/>
      <c r="FX62" s="1194"/>
      <c r="FY62" s="1194"/>
      <c r="FZ62" s="1194"/>
      <c r="GA62" s="1194"/>
      <c r="GB62" s="1194"/>
      <c r="GC62" s="1194"/>
      <c r="GD62" s="1194"/>
      <c r="GE62" s="1195"/>
      <c r="GF62" s="671"/>
      <c r="GG62" s="642"/>
      <c r="GH62" s="642"/>
      <c r="GI62" s="642"/>
      <c r="GJ62" s="567"/>
      <c r="GK62" s="473"/>
      <c r="GL62" s="470"/>
      <c r="GM62" s="473"/>
      <c r="GN62" s="470"/>
      <c r="GO62" s="473"/>
      <c r="GP62" s="473"/>
      <c r="GQ62" s="473"/>
      <c r="GR62" s="470"/>
      <c r="GS62" s="517"/>
      <c r="GT62" s="566"/>
      <c r="GU62" s="672"/>
      <c r="GV62" s="672"/>
      <c r="GW62" s="672"/>
      <c r="GX62" s="672"/>
      <c r="GY62" s="566"/>
      <c r="GZ62" s="487"/>
      <c r="HA62" s="566"/>
      <c r="HB62" s="487"/>
      <c r="HC62" s="1017"/>
    </row>
    <row r="63" spans="1:212" ht="20.100000000000001" customHeight="1">
      <c r="A63" s="1196" t="s">
        <v>317</v>
      </c>
      <c r="B63" s="1109"/>
      <c r="C63" s="1109"/>
      <c r="D63" s="1109"/>
      <c r="E63" s="1109"/>
      <c r="F63" s="1110"/>
      <c r="G63" s="1111">
        <v>1</v>
      </c>
      <c r="H63" s="1112"/>
      <c r="I63" s="1113">
        <v>2</v>
      </c>
      <c r="J63" s="1112"/>
      <c r="K63" s="1113">
        <v>3</v>
      </c>
      <c r="L63" s="1112"/>
      <c r="M63" s="1113">
        <v>4</v>
      </c>
      <c r="N63" s="1112"/>
      <c r="O63" s="1113">
        <v>5</v>
      </c>
      <c r="P63" s="1112"/>
      <c r="Q63" s="1113">
        <v>6</v>
      </c>
      <c r="R63" s="1112"/>
      <c r="S63" s="1113">
        <v>7</v>
      </c>
      <c r="T63" s="1112"/>
      <c r="U63" s="1113">
        <v>8</v>
      </c>
      <c r="V63" s="1112"/>
      <c r="W63" s="1113">
        <v>9</v>
      </c>
      <c r="X63" s="1112"/>
      <c r="Y63" s="1113">
        <v>10</v>
      </c>
      <c r="Z63" s="1112"/>
      <c r="AA63" s="1113">
        <v>11</v>
      </c>
      <c r="AB63" s="1112"/>
      <c r="AC63" s="1113">
        <v>12</v>
      </c>
      <c r="AD63" s="1112"/>
      <c r="AE63" s="1113">
        <v>13</v>
      </c>
      <c r="AF63" s="1112"/>
      <c r="AG63" s="1113">
        <v>14</v>
      </c>
      <c r="AH63" s="1112"/>
      <c r="AI63" s="1113">
        <v>15</v>
      </c>
      <c r="AJ63" s="1112"/>
      <c r="AK63" s="1113">
        <v>16</v>
      </c>
      <c r="AL63" s="1112"/>
      <c r="AM63" s="1113">
        <v>17</v>
      </c>
      <c r="AN63" s="1112"/>
      <c r="AO63" s="1113">
        <v>18</v>
      </c>
      <c r="AP63" s="1112"/>
      <c r="AQ63" s="1113">
        <v>19</v>
      </c>
      <c r="AR63" s="1112"/>
      <c r="AS63" s="1113">
        <v>20</v>
      </c>
      <c r="AT63" s="1112"/>
      <c r="AU63" s="1113">
        <v>21</v>
      </c>
      <c r="AV63" s="1112"/>
      <c r="AW63" s="1113">
        <v>22</v>
      </c>
      <c r="AX63" s="1112"/>
      <c r="AY63" s="1113">
        <v>23</v>
      </c>
      <c r="AZ63" s="1112"/>
      <c r="BA63" s="1113">
        <v>24</v>
      </c>
      <c r="BB63" s="1114"/>
      <c r="BC63" s="1017"/>
      <c r="BD63" s="1197" t="s">
        <v>318</v>
      </c>
      <c r="BE63" s="1198"/>
      <c r="BF63" s="1198"/>
      <c r="BG63" s="1198"/>
      <c r="BH63" s="1109"/>
      <c r="BI63" s="1110"/>
      <c r="BJ63" s="1111">
        <v>1</v>
      </c>
      <c r="BK63" s="1112"/>
      <c r="BL63" s="1113">
        <v>2</v>
      </c>
      <c r="BM63" s="1112"/>
      <c r="BN63" s="1113">
        <v>3</v>
      </c>
      <c r="BO63" s="1112"/>
      <c r="BP63" s="1113">
        <v>4</v>
      </c>
      <c r="BQ63" s="1112"/>
      <c r="BR63" s="1113">
        <v>5</v>
      </c>
      <c r="BS63" s="1112"/>
      <c r="BT63" s="1113">
        <v>6</v>
      </c>
      <c r="BU63" s="1112"/>
      <c r="BV63" s="1113">
        <v>7</v>
      </c>
      <c r="BW63" s="1112"/>
      <c r="BX63" s="1113">
        <v>8</v>
      </c>
      <c r="BY63" s="1112"/>
      <c r="BZ63" s="1113">
        <v>9</v>
      </c>
      <c r="CA63" s="1112"/>
      <c r="CB63" s="1113">
        <v>10</v>
      </c>
      <c r="CC63" s="1112"/>
      <c r="CD63" s="1113">
        <v>11</v>
      </c>
      <c r="CE63" s="1112"/>
      <c r="CF63" s="1113">
        <v>12</v>
      </c>
      <c r="CG63" s="1112"/>
      <c r="CH63" s="1113">
        <v>13</v>
      </c>
      <c r="CI63" s="1112"/>
      <c r="CJ63" s="1113">
        <v>14</v>
      </c>
      <c r="CK63" s="1112"/>
      <c r="CL63" s="1113">
        <v>15</v>
      </c>
      <c r="CM63" s="1112"/>
      <c r="CN63" s="1113">
        <v>16</v>
      </c>
      <c r="CO63" s="1112"/>
      <c r="CP63" s="1113">
        <v>17</v>
      </c>
      <c r="CQ63" s="1112"/>
      <c r="CR63" s="1113">
        <v>18</v>
      </c>
      <c r="CS63" s="1112"/>
      <c r="CT63" s="1113">
        <v>19</v>
      </c>
      <c r="CU63" s="1112"/>
      <c r="CV63" s="1113">
        <v>20</v>
      </c>
      <c r="CW63" s="1112"/>
      <c r="CX63" s="1113">
        <v>21</v>
      </c>
      <c r="CY63" s="1112"/>
      <c r="CZ63" s="1113">
        <v>22</v>
      </c>
      <c r="DA63" s="1112"/>
      <c r="DB63" s="1113">
        <v>23</v>
      </c>
      <c r="DC63" s="1112"/>
      <c r="DD63" s="1113">
        <v>24</v>
      </c>
      <c r="DE63" s="1114"/>
      <c r="DF63" s="1017"/>
      <c r="DG63" s="1196" t="s">
        <v>317</v>
      </c>
      <c r="DH63" s="1109"/>
      <c r="DI63" s="1109"/>
      <c r="DJ63" s="1109"/>
      <c r="DK63" s="1109"/>
      <c r="DL63" s="1110"/>
      <c r="DM63" s="1111">
        <v>1</v>
      </c>
      <c r="DN63" s="1112"/>
      <c r="DO63" s="1113">
        <v>2</v>
      </c>
      <c r="DP63" s="1112"/>
      <c r="DQ63" s="1113">
        <v>3</v>
      </c>
      <c r="DR63" s="1112"/>
      <c r="DS63" s="1113">
        <v>4</v>
      </c>
      <c r="DT63" s="1112"/>
      <c r="DU63" s="1113">
        <v>5</v>
      </c>
      <c r="DV63" s="1112"/>
      <c r="DW63" s="1113">
        <v>6</v>
      </c>
      <c r="DX63" s="1112"/>
      <c r="DY63" s="1113">
        <v>7</v>
      </c>
      <c r="DZ63" s="1112"/>
      <c r="EA63" s="1113">
        <v>8</v>
      </c>
      <c r="EB63" s="1112"/>
      <c r="EC63" s="1113">
        <v>9</v>
      </c>
      <c r="ED63" s="1112"/>
      <c r="EE63" s="1113">
        <v>10</v>
      </c>
      <c r="EF63" s="1112"/>
      <c r="EG63" s="1113">
        <v>11</v>
      </c>
      <c r="EH63" s="1112"/>
      <c r="EI63" s="1113">
        <v>12</v>
      </c>
      <c r="EJ63" s="1112"/>
      <c r="EK63" s="1113">
        <v>13</v>
      </c>
      <c r="EL63" s="1112"/>
      <c r="EM63" s="1113">
        <v>14</v>
      </c>
      <c r="EN63" s="1112"/>
      <c r="EO63" s="1113">
        <v>15</v>
      </c>
      <c r="EP63" s="1112"/>
      <c r="EQ63" s="1113">
        <v>16</v>
      </c>
      <c r="ER63" s="1112"/>
      <c r="ES63" s="1113">
        <v>17</v>
      </c>
      <c r="ET63" s="1112"/>
      <c r="EU63" s="1113">
        <v>18</v>
      </c>
      <c r="EV63" s="1112"/>
      <c r="EW63" s="1113">
        <v>19</v>
      </c>
      <c r="EX63" s="1112"/>
      <c r="EY63" s="1113">
        <v>20</v>
      </c>
      <c r="EZ63" s="1112"/>
      <c r="FA63" s="1113">
        <v>21</v>
      </c>
      <c r="FB63" s="1112"/>
      <c r="FC63" s="1113">
        <v>22</v>
      </c>
      <c r="FD63" s="1112"/>
      <c r="FE63" s="1113">
        <v>23</v>
      </c>
      <c r="FF63" s="1112"/>
      <c r="FG63" s="1113">
        <v>24</v>
      </c>
      <c r="FH63" s="1114"/>
      <c r="FI63" s="1017"/>
      <c r="FJ63" s="1196" t="s">
        <v>317</v>
      </c>
      <c r="FK63" s="1109"/>
      <c r="FL63" s="1109"/>
      <c r="FM63" s="1109"/>
      <c r="FN63" s="1109"/>
      <c r="FO63" s="1110"/>
      <c r="FP63" s="1115" t="s">
        <v>508</v>
      </c>
      <c r="FQ63" s="1116"/>
      <c r="FR63" s="1117"/>
      <c r="FS63" s="1118" t="s">
        <v>259</v>
      </c>
      <c r="FT63" s="1119"/>
      <c r="FU63" s="1120"/>
      <c r="FV63" s="1121" t="s">
        <v>311</v>
      </c>
      <c r="FW63" s="1122"/>
      <c r="FX63" s="1123" t="s">
        <v>312</v>
      </c>
      <c r="FY63" s="1124"/>
      <c r="FZ63" s="1125" t="s">
        <v>313</v>
      </c>
      <c r="GA63" s="1126"/>
      <c r="GB63" s="1127" t="s">
        <v>314</v>
      </c>
      <c r="GC63" s="1112"/>
      <c r="GD63" s="1127" t="s">
        <v>315</v>
      </c>
      <c r="GE63" s="1114"/>
      <c r="GF63" s="671"/>
      <c r="GG63" s="589"/>
      <c r="GH63" s="589"/>
      <c r="GI63" s="589"/>
      <c r="GJ63" s="1243"/>
      <c r="GK63" s="1243"/>
      <c r="GL63" s="565"/>
      <c r="GM63" s="487"/>
      <c r="GN63" s="565"/>
      <c r="GO63" s="487"/>
      <c r="GP63" s="487"/>
      <c r="GQ63" s="487"/>
      <c r="GR63" s="565"/>
      <c r="GS63" s="517"/>
      <c r="GT63" s="566"/>
      <c r="GU63" s="565"/>
      <c r="GV63" s="487"/>
      <c r="GW63" s="565"/>
      <c r="GX63" s="487"/>
      <c r="GY63" s="487"/>
      <c r="GZ63" s="487"/>
      <c r="HA63" s="566"/>
      <c r="HB63" s="487"/>
      <c r="HC63" s="1031"/>
    </row>
    <row r="64" spans="1:212" ht="20.100000000000001" customHeight="1">
      <c r="A64" s="1199"/>
      <c r="B64" s="1130"/>
      <c r="C64" s="1130"/>
      <c r="D64" s="1130"/>
      <c r="E64" s="1130"/>
      <c r="F64" s="1131"/>
      <c r="G64" s="1132"/>
      <c r="H64" s="1133" t="s">
        <v>320</v>
      </c>
      <c r="I64" s="1134"/>
      <c r="J64" s="1133" t="s">
        <v>320</v>
      </c>
      <c r="K64" s="1134"/>
      <c r="L64" s="1133" t="s">
        <v>320</v>
      </c>
      <c r="M64" s="1134"/>
      <c r="N64" s="1133" t="s">
        <v>320</v>
      </c>
      <c r="O64" s="1134"/>
      <c r="P64" s="1133" t="s">
        <v>320</v>
      </c>
      <c r="Q64" s="1134"/>
      <c r="R64" s="1133" t="s">
        <v>320</v>
      </c>
      <c r="S64" s="1134"/>
      <c r="T64" s="1133" t="s">
        <v>320</v>
      </c>
      <c r="U64" s="1134"/>
      <c r="V64" s="1133" t="s">
        <v>320</v>
      </c>
      <c r="W64" s="1134"/>
      <c r="X64" s="1133" t="s">
        <v>320</v>
      </c>
      <c r="Y64" s="1134"/>
      <c r="Z64" s="1133" t="s">
        <v>320</v>
      </c>
      <c r="AA64" s="1134"/>
      <c r="AB64" s="1133" t="s">
        <v>320</v>
      </c>
      <c r="AC64" s="1134"/>
      <c r="AD64" s="1133" t="s">
        <v>320</v>
      </c>
      <c r="AE64" s="1134"/>
      <c r="AF64" s="1133" t="s">
        <v>320</v>
      </c>
      <c r="AG64" s="1134"/>
      <c r="AH64" s="1133" t="s">
        <v>320</v>
      </c>
      <c r="AI64" s="1134"/>
      <c r="AJ64" s="1133" t="s">
        <v>320</v>
      </c>
      <c r="AK64" s="1134"/>
      <c r="AL64" s="1133" t="s">
        <v>320</v>
      </c>
      <c r="AM64" s="1134"/>
      <c r="AN64" s="1133" t="s">
        <v>320</v>
      </c>
      <c r="AO64" s="1134"/>
      <c r="AP64" s="1133" t="s">
        <v>320</v>
      </c>
      <c r="AQ64" s="1134"/>
      <c r="AR64" s="1133" t="s">
        <v>320</v>
      </c>
      <c r="AS64" s="1134"/>
      <c r="AT64" s="1133" t="s">
        <v>320</v>
      </c>
      <c r="AU64" s="1134"/>
      <c r="AV64" s="1133" t="s">
        <v>320</v>
      </c>
      <c r="AW64" s="1134"/>
      <c r="AX64" s="1133" t="s">
        <v>320</v>
      </c>
      <c r="AY64" s="1134"/>
      <c r="AZ64" s="1133" t="s">
        <v>320</v>
      </c>
      <c r="BA64" s="1134"/>
      <c r="BB64" s="1136" t="s">
        <v>320</v>
      </c>
      <c r="BC64" s="1031"/>
      <c r="BD64" s="1200"/>
      <c r="BE64" s="1201"/>
      <c r="BF64" s="1201"/>
      <c r="BG64" s="1201"/>
      <c r="BH64" s="1130"/>
      <c r="BI64" s="1131"/>
      <c r="BJ64" s="1132"/>
      <c r="BK64" s="1133" t="s">
        <v>320</v>
      </c>
      <c r="BL64" s="1134"/>
      <c r="BM64" s="1133" t="s">
        <v>320</v>
      </c>
      <c r="BN64" s="1134"/>
      <c r="BO64" s="1133" t="s">
        <v>320</v>
      </c>
      <c r="BP64" s="1134"/>
      <c r="BQ64" s="1133" t="s">
        <v>320</v>
      </c>
      <c r="BR64" s="1134"/>
      <c r="BS64" s="1133" t="s">
        <v>320</v>
      </c>
      <c r="BT64" s="1134"/>
      <c r="BU64" s="1133" t="s">
        <v>320</v>
      </c>
      <c r="BV64" s="1134"/>
      <c r="BW64" s="1133" t="s">
        <v>320</v>
      </c>
      <c r="BX64" s="1134"/>
      <c r="BY64" s="1133" t="s">
        <v>320</v>
      </c>
      <c r="BZ64" s="1134"/>
      <c r="CA64" s="1133" t="s">
        <v>320</v>
      </c>
      <c r="CB64" s="1134"/>
      <c r="CC64" s="1133" t="s">
        <v>320</v>
      </c>
      <c r="CD64" s="1134"/>
      <c r="CE64" s="1133" t="s">
        <v>320</v>
      </c>
      <c r="CF64" s="1134"/>
      <c r="CG64" s="1133" t="s">
        <v>320</v>
      </c>
      <c r="CH64" s="1134"/>
      <c r="CI64" s="1133" t="s">
        <v>320</v>
      </c>
      <c r="CJ64" s="1134"/>
      <c r="CK64" s="1133" t="s">
        <v>320</v>
      </c>
      <c r="CL64" s="1134"/>
      <c r="CM64" s="1133" t="s">
        <v>320</v>
      </c>
      <c r="CN64" s="1134"/>
      <c r="CO64" s="1133" t="s">
        <v>320</v>
      </c>
      <c r="CP64" s="1134"/>
      <c r="CQ64" s="1133" t="s">
        <v>320</v>
      </c>
      <c r="CR64" s="1134"/>
      <c r="CS64" s="1133" t="s">
        <v>320</v>
      </c>
      <c r="CT64" s="1134"/>
      <c r="CU64" s="1133" t="s">
        <v>320</v>
      </c>
      <c r="CV64" s="1134"/>
      <c r="CW64" s="1133" t="s">
        <v>320</v>
      </c>
      <c r="CX64" s="1134"/>
      <c r="CY64" s="1133" t="s">
        <v>320</v>
      </c>
      <c r="CZ64" s="1134"/>
      <c r="DA64" s="1133" t="s">
        <v>320</v>
      </c>
      <c r="DB64" s="1134"/>
      <c r="DC64" s="1133" t="s">
        <v>320</v>
      </c>
      <c r="DD64" s="1134"/>
      <c r="DE64" s="1136" t="s">
        <v>320</v>
      </c>
      <c r="DF64" s="1031"/>
      <c r="DG64" s="1199"/>
      <c r="DH64" s="1130"/>
      <c r="DI64" s="1130"/>
      <c r="DJ64" s="1130"/>
      <c r="DK64" s="1130"/>
      <c r="DL64" s="1131"/>
      <c r="DM64" s="1132"/>
      <c r="DN64" s="1133" t="s">
        <v>320</v>
      </c>
      <c r="DO64" s="1134"/>
      <c r="DP64" s="1133" t="s">
        <v>320</v>
      </c>
      <c r="DQ64" s="1134"/>
      <c r="DR64" s="1133" t="s">
        <v>320</v>
      </c>
      <c r="DS64" s="1134"/>
      <c r="DT64" s="1133" t="s">
        <v>320</v>
      </c>
      <c r="DU64" s="1134"/>
      <c r="DV64" s="1133" t="s">
        <v>320</v>
      </c>
      <c r="DW64" s="1134"/>
      <c r="DX64" s="1133" t="s">
        <v>320</v>
      </c>
      <c r="DY64" s="1134"/>
      <c r="DZ64" s="1133" t="s">
        <v>320</v>
      </c>
      <c r="EA64" s="1134"/>
      <c r="EB64" s="1133" t="s">
        <v>320</v>
      </c>
      <c r="EC64" s="1134"/>
      <c r="ED64" s="1133" t="s">
        <v>320</v>
      </c>
      <c r="EE64" s="1134"/>
      <c r="EF64" s="1133" t="s">
        <v>320</v>
      </c>
      <c r="EG64" s="1134"/>
      <c r="EH64" s="1133" t="s">
        <v>320</v>
      </c>
      <c r="EI64" s="1134"/>
      <c r="EJ64" s="1133" t="s">
        <v>320</v>
      </c>
      <c r="EK64" s="1134"/>
      <c r="EL64" s="1133" t="s">
        <v>320</v>
      </c>
      <c r="EM64" s="1134"/>
      <c r="EN64" s="1133" t="s">
        <v>320</v>
      </c>
      <c r="EO64" s="1134"/>
      <c r="EP64" s="1133" t="s">
        <v>320</v>
      </c>
      <c r="EQ64" s="1134"/>
      <c r="ER64" s="1133" t="s">
        <v>320</v>
      </c>
      <c r="ES64" s="1134"/>
      <c r="ET64" s="1133" t="s">
        <v>320</v>
      </c>
      <c r="EU64" s="1134"/>
      <c r="EV64" s="1133" t="s">
        <v>320</v>
      </c>
      <c r="EW64" s="1134"/>
      <c r="EX64" s="1133" t="s">
        <v>320</v>
      </c>
      <c r="EY64" s="1134"/>
      <c r="EZ64" s="1133" t="s">
        <v>320</v>
      </c>
      <c r="FA64" s="1134"/>
      <c r="FB64" s="1133" t="s">
        <v>320</v>
      </c>
      <c r="FC64" s="1134"/>
      <c r="FD64" s="1133" t="s">
        <v>320</v>
      </c>
      <c r="FE64" s="1134"/>
      <c r="FF64" s="1133" t="s">
        <v>320</v>
      </c>
      <c r="FG64" s="1134"/>
      <c r="FH64" s="1136" t="s">
        <v>320</v>
      </c>
      <c r="FI64" s="1031"/>
      <c r="FJ64" s="1199"/>
      <c r="FK64" s="1130"/>
      <c r="FL64" s="1130"/>
      <c r="FM64" s="1130"/>
      <c r="FN64" s="1130"/>
      <c r="FO64" s="1131"/>
      <c r="FP64" s="1137" t="s">
        <v>48</v>
      </c>
      <c r="FQ64" s="1135" t="s">
        <v>321</v>
      </c>
      <c r="FR64" s="1133" t="s">
        <v>320</v>
      </c>
      <c r="FS64" s="1138" t="s">
        <v>48</v>
      </c>
      <c r="FT64" s="1135" t="s">
        <v>321</v>
      </c>
      <c r="FU64" s="1139" t="s">
        <v>320</v>
      </c>
      <c r="FV64" s="1140" t="s">
        <v>48</v>
      </c>
      <c r="FW64" s="1133" t="s">
        <v>320</v>
      </c>
      <c r="FX64" s="1138" t="s">
        <v>48</v>
      </c>
      <c r="FY64" s="1133" t="s">
        <v>320</v>
      </c>
      <c r="FZ64" s="1138" t="s">
        <v>48</v>
      </c>
      <c r="GA64" s="1133" t="s">
        <v>320</v>
      </c>
      <c r="GB64" s="1138" t="s">
        <v>48</v>
      </c>
      <c r="GC64" s="1133" t="s">
        <v>320</v>
      </c>
      <c r="GD64" s="1138" t="s">
        <v>48</v>
      </c>
      <c r="GE64" s="1136" t="s">
        <v>320</v>
      </c>
      <c r="GF64" s="671"/>
      <c r="GG64" s="1172"/>
      <c r="GH64" s="1172"/>
      <c r="GI64" s="1172"/>
      <c r="GJ64" s="487"/>
      <c r="GK64" s="487"/>
      <c r="GL64" s="565"/>
      <c r="GM64" s="487"/>
      <c r="GN64" s="565"/>
      <c r="GO64" s="487"/>
      <c r="GP64" s="487"/>
      <c r="GQ64" s="487"/>
      <c r="GR64" s="565"/>
      <c r="GS64" s="400"/>
      <c r="GT64" s="1245"/>
      <c r="GU64" s="565"/>
      <c r="GV64" s="487"/>
      <c r="GW64" s="565"/>
      <c r="GX64" s="487"/>
      <c r="GY64" s="487"/>
      <c r="GZ64" s="566"/>
      <c r="HA64" s="566"/>
      <c r="HB64" s="566"/>
      <c r="HC64" s="549"/>
    </row>
    <row r="65" spans="1:211" ht="20.100000000000001" customHeight="1">
      <c r="A65" s="1141"/>
      <c r="B65" s="1142"/>
      <c r="C65" s="1142"/>
      <c r="D65" s="1202"/>
      <c r="E65" s="1203"/>
      <c r="F65" s="1204"/>
      <c r="G65" s="1205"/>
      <c r="H65" s="1146"/>
      <c r="I65" s="1206"/>
      <c r="J65" s="1207"/>
      <c r="K65" s="1208"/>
      <c r="L65" s="1207"/>
      <c r="M65" s="1208"/>
      <c r="N65" s="1207"/>
      <c r="O65" s="1208"/>
      <c r="P65" s="1207"/>
      <c r="Q65" s="1208"/>
      <c r="R65" s="1207"/>
      <c r="S65" s="1208"/>
      <c r="T65" s="1207"/>
      <c r="U65" s="1208"/>
      <c r="V65" s="1207"/>
      <c r="W65" s="1208"/>
      <c r="X65" s="1207">
        <v>0</v>
      </c>
      <c r="Y65" s="1208"/>
      <c r="Z65" s="1207">
        <v>0</v>
      </c>
      <c r="AA65" s="1208"/>
      <c r="AB65" s="1207">
        <v>0</v>
      </c>
      <c r="AC65" s="1208"/>
      <c r="AD65" s="1207">
        <v>0</v>
      </c>
      <c r="AE65" s="1208"/>
      <c r="AF65" s="1207">
        <v>0</v>
      </c>
      <c r="AG65" s="1208"/>
      <c r="AH65" s="1207">
        <v>0</v>
      </c>
      <c r="AI65" s="1208"/>
      <c r="AJ65" s="1207">
        <v>0</v>
      </c>
      <c r="AK65" s="1208"/>
      <c r="AL65" s="1207">
        <v>0</v>
      </c>
      <c r="AM65" s="1208"/>
      <c r="AN65" s="1207">
        <v>0</v>
      </c>
      <c r="AO65" s="1208"/>
      <c r="AP65" s="1207">
        <v>0</v>
      </c>
      <c r="AQ65" s="1208"/>
      <c r="AR65" s="1207"/>
      <c r="AS65" s="1208"/>
      <c r="AT65" s="1207"/>
      <c r="AU65" s="1208"/>
      <c r="AV65" s="1207"/>
      <c r="AW65" s="1208"/>
      <c r="AX65" s="1207"/>
      <c r="AY65" s="1208"/>
      <c r="AZ65" s="1207"/>
      <c r="BA65" s="1208"/>
      <c r="BB65" s="548"/>
      <c r="BC65" s="550"/>
      <c r="BD65" s="1141"/>
      <c r="BE65" s="1142"/>
      <c r="BF65" s="1142"/>
      <c r="BG65" s="1202"/>
      <c r="BH65" s="1203"/>
      <c r="BI65" s="1204"/>
      <c r="BJ65" s="1205"/>
      <c r="BK65" s="1146"/>
      <c r="BL65" s="1206"/>
      <c r="BM65" s="1207"/>
      <c r="BN65" s="1208"/>
      <c r="BO65" s="1207"/>
      <c r="BP65" s="1208"/>
      <c r="BQ65" s="1207"/>
      <c r="BR65" s="1208"/>
      <c r="BS65" s="1207"/>
      <c r="BT65" s="1208"/>
      <c r="BU65" s="1207"/>
      <c r="BV65" s="1208"/>
      <c r="BW65" s="1207"/>
      <c r="BX65" s="1208"/>
      <c r="BY65" s="1207"/>
      <c r="BZ65" s="1208"/>
      <c r="CA65" s="1207">
        <v>0</v>
      </c>
      <c r="CB65" s="1208"/>
      <c r="CC65" s="1207">
        <v>0</v>
      </c>
      <c r="CD65" s="1208"/>
      <c r="CE65" s="1207">
        <v>0</v>
      </c>
      <c r="CF65" s="1208"/>
      <c r="CG65" s="1207">
        <v>0</v>
      </c>
      <c r="CH65" s="1208"/>
      <c r="CI65" s="1207">
        <v>0</v>
      </c>
      <c r="CJ65" s="1208"/>
      <c r="CK65" s="1207">
        <v>0</v>
      </c>
      <c r="CL65" s="1208"/>
      <c r="CM65" s="1207">
        <v>0</v>
      </c>
      <c r="CN65" s="1208"/>
      <c r="CO65" s="1207">
        <v>0</v>
      </c>
      <c r="CP65" s="1208"/>
      <c r="CQ65" s="1207">
        <v>0</v>
      </c>
      <c r="CR65" s="1208"/>
      <c r="CS65" s="1207">
        <v>0</v>
      </c>
      <c r="CT65" s="1208"/>
      <c r="CU65" s="1207"/>
      <c r="CV65" s="1208"/>
      <c r="CW65" s="1207"/>
      <c r="CX65" s="1208"/>
      <c r="CY65" s="1207"/>
      <c r="CZ65" s="1208"/>
      <c r="DA65" s="1207"/>
      <c r="DB65" s="1208"/>
      <c r="DC65" s="1207"/>
      <c r="DD65" s="1208"/>
      <c r="DE65" s="548"/>
      <c r="DF65" s="549"/>
      <c r="DG65" s="1141"/>
      <c r="DH65" s="1142"/>
      <c r="DI65" s="1142"/>
      <c r="DJ65" s="1202"/>
      <c r="DK65" s="1203"/>
      <c r="DL65" s="1204"/>
      <c r="DM65" s="1205"/>
      <c r="DN65" s="1146"/>
      <c r="DO65" s="1206"/>
      <c r="DP65" s="1207"/>
      <c r="DQ65" s="1208"/>
      <c r="DR65" s="1207"/>
      <c r="DS65" s="1208"/>
      <c r="DT65" s="1207"/>
      <c r="DU65" s="1208"/>
      <c r="DV65" s="1207"/>
      <c r="DW65" s="1208"/>
      <c r="DX65" s="1207"/>
      <c r="DY65" s="1208"/>
      <c r="DZ65" s="1207"/>
      <c r="EA65" s="1208"/>
      <c r="EB65" s="1207"/>
      <c r="EC65" s="1208"/>
      <c r="ED65" s="1207">
        <v>0</v>
      </c>
      <c r="EE65" s="1208"/>
      <c r="EF65" s="1207">
        <v>0</v>
      </c>
      <c r="EG65" s="1208"/>
      <c r="EH65" s="1207">
        <v>0</v>
      </c>
      <c r="EI65" s="1208"/>
      <c r="EJ65" s="1207">
        <v>0</v>
      </c>
      <c r="EK65" s="1208"/>
      <c r="EL65" s="1207">
        <v>0</v>
      </c>
      <c r="EM65" s="1208"/>
      <c r="EN65" s="1207">
        <v>0</v>
      </c>
      <c r="EO65" s="1208"/>
      <c r="EP65" s="1207">
        <v>0</v>
      </c>
      <c r="EQ65" s="1208"/>
      <c r="ER65" s="1207">
        <v>0</v>
      </c>
      <c r="ES65" s="1208"/>
      <c r="ET65" s="1207">
        <v>0</v>
      </c>
      <c r="EU65" s="1208"/>
      <c r="EV65" s="1207">
        <v>0</v>
      </c>
      <c r="EW65" s="1208"/>
      <c r="EX65" s="1207"/>
      <c r="EY65" s="1208"/>
      <c r="EZ65" s="1207"/>
      <c r="FA65" s="1208"/>
      <c r="FB65" s="1207"/>
      <c r="FC65" s="1208"/>
      <c r="FD65" s="1207"/>
      <c r="FE65" s="1208"/>
      <c r="FF65" s="1207"/>
      <c r="FG65" s="1208"/>
      <c r="FH65" s="548"/>
      <c r="FI65" s="550"/>
      <c r="FJ65" s="1141"/>
      <c r="FK65" s="1142"/>
      <c r="FL65" s="1209"/>
      <c r="FM65" s="1209"/>
      <c r="FN65" s="1209"/>
      <c r="FO65" s="1204"/>
      <c r="FP65" s="1148"/>
      <c r="FQ65" s="1206"/>
      <c r="FR65" s="1146">
        <v>0</v>
      </c>
      <c r="FS65" s="1210"/>
      <c r="FT65" s="1206"/>
      <c r="FU65" s="1151">
        <v>0</v>
      </c>
      <c r="FV65" s="1210"/>
      <c r="FW65" s="1211">
        <v>0</v>
      </c>
      <c r="FX65" s="1150"/>
      <c r="FY65" s="1211">
        <v>0</v>
      </c>
      <c r="FZ65" s="1150"/>
      <c r="GA65" s="1211">
        <v>0</v>
      </c>
      <c r="GB65" s="1150"/>
      <c r="GC65" s="1211">
        <v>0</v>
      </c>
      <c r="GD65" s="1212"/>
      <c r="GE65" s="1213"/>
      <c r="GF65" s="671"/>
      <c r="GG65" s="589"/>
      <c r="GH65" s="589"/>
      <c r="GI65" s="589"/>
      <c r="GJ65" s="382"/>
      <c r="GK65" s="516"/>
      <c r="GL65" s="516"/>
      <c r="GM65" s="516"/>
      <c r="GN65" s="516"/>
      <c r="GO65" s="516"/>
      <c r="GP65" s="516"/>
      <c r="GQ65" s="516"/>
      <c r="GR65" s="516"/>
      <c r="GS65" s="400"/>
      <c r="GT65" s="1245"/>
      <c r="GU65" s="487"/>
      <c r="GV65" s="487"/>
      <c r="GW65" s="487"/>
      <c r="GX65" s="487"/>
      <c r="GY65" s="487"/>
      <c r="GZ65" s="566"/>
      <c r="HA65" s="566"/>
      <c r="HB65" s="566"/>
      <c r="HC65" s="549"/>
    </row>
    <row r="66" spans="1:211" ht="20.100000000000001" customHeight="1">
      <c r="A66" s="1179"/>
      <c r="B66" s="1180"/>
      <c r="C66" s="1180"/>
      <c r="D66" s="1180"/>
      <c r="E66" s="1180"/>
      <c r="F66" s="1181"/>
      <c r="G66" s="1214"/>
      <c r="H66" s="1215"/>
      <c r="I66" s="1188"/>
      <c r="J66" s="1216"/>
      <c r="K66" s="1217"/>
      <c r="L66" s="1216"/>
      <c r="M66" s="1217"/>
      <c r="N66" s="1216"/>
      <c r="O66" s="1217"/>
      <c r="P66" s="1216"/>
      <c r="Q66" s="1217"/>
      <c r="R66" s="1216"/>
      <c r="S66" s="1217"/>
      <c r="T66" s="1216"/>
      <c r="U66" s="1217"/>
      <c r="V66" s="1216"/>
      <c r="W66" s="1217"/>
      <c r="X66" s="1216"/>
      <c r="Y66" s="1217"/>
      <c r="Z66" s="1216"/>
      <c r="AA66" s="1217"/>
      <c r="AB66" s="1216"/>
      <c r="AC66" s="1217"/>
      <c r="AD66" s="1216"/>
      <c r="AE66" s="1217"/>
      <c r="AF66" s="1216"/>
      <c r="AG66" s="1217"/>
      <c r="AH66" s="1216"/>
      <c r="AI66" s="1217"/>
      <c r="AJ66" s="1216"/>
      <c r="AK66" s="1217"/>
      <c r="AL66" s="1216"/>
      <c r="AM66" s="1217"/>
      <c r="AN66" s="1216"/>
      <c r="AO66" s="1217"/>
      <c r="AP66" s="1216"/>
      <c r="AQ66" s="1217"/>
      <c r="AR66" s="1216"/>
      <c r="AS66" s="1217"/>
      <c r="AT66" s="1216"/>
      <c r="AU66" s="1217"/>
      <c r="AV66" s="1216"/>
      <c r="AW66" s="1217"/>
      <c r="AX66" s="1216"/>
      <c r="AY66" s="1217"/>
      <c r="AZ66" s="1216"/>
      <c r="BA66" s="1217"/>
      <c r="BB66" s="1218"/>
      <c r="BC66" s="550"/>
      <c r="BD66" s="1179"/>
      <c r="BE66" s="1180"/>
      <c r="BF66" s="1180"/>
      <c r="BG66" s="1180"/>
      <c r="BH66" s="1180"/>
      <c r="BI66" s="1181"/>
      <c r="BJ66" s="1214"/>
      <c r="BK66" s="1215"/>
      <c r="BL66" s="1188"/>
      <c r="BM66" s="1216"/>
      <c r="BN66" s="1217"/>
      <c r="BO66" s="1216"/>
      <c r="BP66" s="1217"/>
      <c r="BQ66" s="1216"/>
      <c r="BR66" s="1217"/>
      <c r="BS66" s="1216"/>
      <c r="BT66" s="1217"/>
      <c r="BU66" s="1216"/>
      <c r="BV66" s="1217"/>
      <c r="BW66" s="1216"/>
      <c r="BX66" s="1217"/>
      <c r="BY66" s="1216"/>
      <c r="BZ66" s="1217"/>
      <c r="CA66" s="1216"/>
      <c r="CB66" s="1217"/>
      <c r="CC66" s="1216"/>
      <c r="CD66" s="1217"/>
      <c r="CE66" s="1216"/>
      <c r="CF66" s="1217"/>
      <c r="CG66" s="1216"/>
      <c r="CH66" s="1217"/>
      <c r="CI66" s="1216"/>
      <c r="CJ66" s="1217"/>
      <c r="CK66" s="1216"/>
      <c r="CL66" s="1217"/>
      <c r="CM66" s="1216"/>
      <c r="CN66" s="1217"/>
      <c r="CO66" s="1216"/>
      <c r="CP66" s="1217"/>
      <c r="CQ66" s="1216"/>
      <c r="CR66" s="1217"/>
      <c r="CS66" s="1216"/>
      <c r="CT66" s="1217"/>
      <c r="CU66" s="1216"/>
      <c r="CV66" s="1217"/>
      <c r="CW66" s="1216"/>
      <c r="CX66" s="1217"/>
      <c r="CY66" s="1216"/>
      <c r="CZ66" s="1217"/>
      <c r="DA66" s="1216"/>
      <c r="DB66" s="1217"/>
      <c r="DC66" s="1216"/>
      <c r="DD66" s="1217"/>
      <c r="DE66" s="1218"/>
      <c r="DF66" s="549"/>
      <c r="DG66" s="1179"/>
      <c r="DH66" s="1180"/>
      <c r="DI66" s="1180"/>
      <c r="DJ66" s="1180"/>
      <c r="DK66" s="1180"/>
      <c r="DL66" s="1181"/>
      <c r="DM66" s="1214"/>
      <c r="DN66" s="1215"/>
      <c r="DO66" s="1188"/>
      <c r="DP66" s="1216"/>
      <c r="DQ66" s="1217"/>
      <c r="DR66" s="1216"/>
      <c r="DS66" s="1217"/>
      <c r="DT66" s="1216"/>
      <c r="DU66" s="1217"/>
      <c r="DV66" s="1216"/>
      <c r="DW66" s="1217"/>
      <c r="DX66" s="1216"/>
      <c r="DY66" s="1217"/>
      <c r="DZ66" s="1216"/>
      <c r="EA66" s="1217"/>
      <c r="EB66" s="1216"/>
      <c r="EC66" s="1217"/>
      <c r="ED66" s="1216"/>
      <c r="EE66" s="1217"/>
      <c r="EF66" s="1216"/>
      <c r="EG66" s="1217"/>
      <c r="EH66" s="1216"/>
      <c r="EI66" s="1217"/>
      <c r="EJ66" s="1216"/>
      <c r="EK66" s="1217"/>
      <c r="EL66" s="1216"/>
      <c r="EM66" s="1217"/>
      <c r="EN66" s="1216"/>
      <c r="EO66" s="1217"/>
      <c r="EP66" s="1216"/>
      <c r="EQ66" s="1217"/>
      <c r="ER66" s="1216"/>
      <c r="ES66" s="1217"/>
      <c r="ET66" s="1216"/>
      <c r="EU66" s="1217"/>
      <c r="EV66" s="1216"/>
      <c r="EW66" s="1217"/>
      <c r="EX66" s="1216"/>
      <c r="EY66" s="1217"/>
      <c r="EZ66" s="1216"/>
      <c r="FA66" s="1217"/>
      <c r="FB66" s="1216"/>
      <c r="FC66" s="1217"/>
      <c r="FD66" s="1216"/>
      <c r="FE66" s="1217"/>
      <c r="FF66" s="1216"/>
      <c r="FG66" s="1217"/>
      <c r="FH66" s="1218"/>
      <c r="FI66" s="550"/>
      <c r="FJ66" s="1179" t="s">
        <v>776</v>
      </c>
      <c r="FK66" s="1180"/>
      <c r="FL66" s="1219"/>
      <c r="FM66" s="1220"/>
      <c r="FN66" s="1221"/>
      <c r="FO66" s="1181"/>
      <c r="FP66" s="1187"/>
      <c r="FQ66" s="1222"/>
      <c r="FR66" s="1223">
        <v>0</v>
      </c>
      <c r="FS66" s="1190"/>
      <c r="FT66" s="1222"/>
      <c r="FU66" s="1224">
        <v>0</v>
      </c>
      <c r="FV66" s="1225"/>
      <c r="FW66" s="1226"/>
      <c r="FX66" s="1226"/>
      <c r="FY66" s="1226"/>
      <c r="FZ66" s="1226"/>
      <c r="GA66" s="1226"/>
      <c r="GB66" s="1226"/>
      <c r="GC66" s="1227"/>
      <c r="GD66" s="1190"/>
      <c r="GE66" s="1228">
        <v>0</v>
      </c>
      <c r="GF66" s="671"/>
      <c r="GG66" s="382"/>
      <c r="GH66" s="382"/>
      <c r="GI66" s="382"/>
      <c r="GJ66" s="470"/>
      <c r="GK66" s="516"/>
      <c r="GL66" s="517"/>
      <c r="GM66" s="516"/>
      <c r="GN66" s="517"/>
      <c r="GO66" s="516"/>
      <c r="GP66" s="516"/>
      <c r="GQ66" s="516"/>
      <c r="GR66" s="517"/>
      <c r="GT66" s="1245"/>
      <c r="GU66" s="566"/>
      <c r="GV66" s="566"/>
      <c r="GW66" s="566"/>
      <c r="GX66" s="566"/>
      <c r="GY66" s="566"/>
      <c r="GZ66" s="487"/>
      <c r="HA66" s="487"/>
      <c r="HB66" s="487"/>
      <c r="HC66" s="397"/>
    </row>
    <row r="67" spans="1:211" ht="20.100000000000001" customHeight="1" thickBot="1">
      <c r="BC67" s="380"/>
      <c r="DF67" s="380"/>
      <c r="FI67" s="380"/>
      <c r="GD67" s="671"/>
      <c r="GE67" s="782"/>
      <c r="GF67" s="671"/>
      <c r="GG67" s="470"/>
      <c r="GH67" s="470"/>
      <c r="GI67" s="470"/>
      <c r="GJ67" s="382"/>
      <c r="GT67" s="672"/>
      <c r="GU67" s="487"/>
      <c r="GV67" s="487"/>
      <c r="GW67" s="487"/>
      <c r="GX67" s="487"/>
      <c r="GY67" s="487"/>
      <c r="GZ67" s="566"/>
      <c r="HA67" s="565"/>
      <c r="HB67" s="566"/>
      <c r="HC67" s="397"/>
    </row>
    <row r="68" spans="1:211" ht="20.100000000000001" customHeight="1">
      <c r="A68" s="1230" t="s">
        <v>322</v>
      </c>
      <c r="B68" s="1231"/>
      <c r="C68" s="1231"/>
      <c r="D68" s="1231"/>
      <c r="E68" s="804"/>
      <c r="F68" s="804"/>
      <c r="G68" s="1232"/>
      <c r="H68" s="1233"/>
      <c r="I68" s="1233"/>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4"/>
      <c r="BC68" s="1235"/>
      <c r="BD68" s="1230" t="s">
        <v>322</v>
      </c>
      <c r="BE68" s="1231"/>
      <c r="BF68" s="1231"/>
      <c r="BG68" s="1231"/>
      <c r="BH68" s="804"/>
      <c r="BI68" s="804"/>
      <c r="BJ68" s="1236">
        <f>$G68</f>
        <v>0</v>
      </c>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7"/>
      <c r="DD68" s="1237"/>
      <c r="DE68" s="1238"/>
      <c r="DF68" s="1235"/>
      <c r="DG68" s="1230" t="s">
        <v>322</v>
      </c>
      <c r="DH68" s="1231"/>
      <c r="DI68" s="1231"/>
      <c r="DJ68" s="1231"/>
      <c r="DK68" s="804"/>
      <c r="DL68" s="804"/>
      <c r="DM68" s="1236">
        <f>$G68</f>
        <v>0</v>
      </c>
      <c r="DN68" s="1237"/>
      <c r="DO68" s="1237"/>
      <c r="DP68" s="1237"/>
      <c r="DQ68" s="1237"/>
      <c r="DR68" s="1237"/>
      <c r="DS68" s="1237"/>
      <c r="DT68" s="1237"/>
      <c r="DU68" s="1237"/>
      <c r="DV68" s="1237"/>
      <c r="DW68" s="1237"/>
      <c r="DX68" s="1237"/>
      <c r="DY68" s="1237"/>
      <c r="DZ68" s="1237"/>
      <c r="EA68" s="1237"/>
      <c r="EB68" s="1237"/>
      <c r="EC68" s="1237"/>
      <c r="ED68" s="1237"/>
      <c r="EE68" s="1237"/>
      <c r="EF68" s="1237"/>
      <c r="EG68" s="1237"/>
      <c r="EH68" s="1237"/>
      <c r="EI68" s="1237"/>
      <c r="EJ68" s="1237"/>
      <c r="EK68" s="1237"/>
      <c r="EL68" s="1237"/>
      <c r="EM68" s="1237"/>
      <c r="EN68" s="1237"/>
      <c r="EO68" s="1237"/>
      <c r="EP68" s="1237"/>
      <c r="EQ68" s="1237"/>
      <c r="ER68" s="1237"/>
      <c r="ES68" s="1237"/>
      <c r="ET68" s="1237"/>
      <c r="EU68" s="1237"/>
      <c r="EV68" s="1237"/>
      <c r="EW68" s="1237"/>
      <c r="EX68" s="1237"/>
      <c r="EY68" s="1237"/>
      <c r="EZ68" s="1237"/>
      <c r="FA68" s="1237"/>
      <c r="FB68" s="1237"/>
      <c r="FC68" s="1237"/>
      <c r="FD68" s="1237"/>
      <c r="FE68" s="1237"/>
      <c r="FF68" s="1237"/>
      <c r="FG68" s="1237"/>
      <c r="FH68" s="1238"/>
      <c r="FI68" s="1235"/>
      <c r="FJ68" s="1230" t="s">
        <v>322</v>
      </c>
      <c r="FK68" s="1231"/>
      <c r="FL68" s="1231"/>
      <c r="FM68" s="1231"/>
      <c r="FN68" s="804"/>
      <c r="FO68" s="804"/>
      <c r="FP68" s="1232"/>
      <c r="FQ68" s="1233"/>
      <c r="FR68" s="1233"/>
      <c r="FS68" s="1233"/>
      <c r="FT68" s="1233"/>
      <c r="FU68" s="1239"/>
      <c r="FV68" s="1240"/>
      <c r="FW68" s="1233"/>
      <c r="FX68" s="1233"/>
      <c r="FY68" s="1233"/>
      <c r="FZ68" s="1233"/>
      <c r="GA68" s="1233"/>
      <c r="GB68" s="1233"/>
      <c r="GC68" s="1241"/>
      <c r="GD68" s="1233"/>
      <c r="GE68" s="1234"/>
      <c r="GF68" s="671"/>
      <c r="GG68" s="589"/>
      <c r="GH68" s="589"/>
      <c r="GI68" s="589"/>
      <c r="GJ68" s="470"/>
      <c r="GK68" s="516"/>
      <c r="GL68" s="517"/>
      <c r="GM68" s="516"/>
      <c r="GN68" s="517"/>
      <c r="GO68" s="516"/>
      <c r="GP68" s="516"/>
      <c r="GQ68" s="516"/>
      <c r="GR68" s="517"/>
      <c r="GT68" s="566"/>
      <c r="GU68" s="1243"/>
      <c r="GV68" s="1243"/>
      <c r="GW68" s="1243"/>
      <c r="GX68" s="1243"/>
      <c r="GY68" s="1100"/>
      <c r="GZ68" s="1244"/>
      <c r="HA68" s="1244"/>
      <c r="HB68" s="1244"/>
    </row>
    <row r="69" spans="1:211" ht="20.100000000000001" customHeight="1">
      <c r="BC69" s="380"/>
      <c r="DF69" s="380"/>
      <c r="FI69" s="380"/>
      <c r="GF69" s="486"/>
      <c r="GG69" s="589"/>
      <c r="GH69" s="589"/>
      <c r="GI69" s="589"/>
      <c r="GJ69" s="517"/>
      <c r="GT69" s="1172"/>
      <c r="GU69" s="517"/>
      <c r="GV69" s="516"/>
      <c r="GW69" s="517"/>
      <c r="GX69" s="516"/>
      <c r="GY69" s="516"/>
      <c r="HA69" s="382"/>
    </row>
    <row r="70" spans="1:211" ht="20.100000000000001" customHeight="1">
      <c r="BC70" s="380"/>
      <c r="DF70" s="380"/>
      <c r="FI70" s="380"/>
      <c r="GJ70" s="382"/>
      <c r="GT70" s="672"/>
      <c r="GU70" s="516"/>
      <c r="GV70" s="516"/>
      <c r="GW70" s="516"/>
      <c r="GX70" s="516"/>
      <c r="GY70" s="516"/>
      <c r="HA70" s="517"/>
    </row>
    <row r="71" spans="1:211" ht="20.100000000000001" customHeight="1">
      <c r="BC71" s="380"/>
      <c r="DF71" s="380"/>
      <c r="FI71" s="380"/>
      <c r="GJ71" s="567"/>
      <c r="GS71" s="382"/>
      <c r="GT71" s="1242"/>
      <c r="GU71" s="517"/>
      <c r="GV71" s="382"/>
      <c r="GW71" s="517"/>
      <c r="GX71" s="382"/>
      <c r="GY71" s="566"/>
      <c r="GZ71" s="404"/>
      <c r="HA71" s="517"/>
      <c r="HB71" s="404"/>
    </row>
    <row r="72" spans="1:211" ht="20.100000000000001" customHeight="1">
      <c r="BC72" s="380"/>
      <c r="DF72" s="380"/>
      <c r="FI72" s="380"/>
      <c r="GJ72" s="517"/>
      <c r="GT72" s="1172"/>
      <c r="GU72" s="517"/>
      <c r="GV72" s="516"/>
      <c r="GW72" s="517"/>
      <c r="GX72" s="516"/>
      <c r="GY72" s="516"/>
      <c r="HA72" s="382"/>
    </row>
    <row r="73" spans="1:211" ht="20.100000000000001" customHeight="1">
      <c r="BC73" s="380"/>
      <c r="DF73" s="380"/>
      <c r="FI73" s="380"/>
      <c r="GJ73" s="517"/>
      <c r="GT73" s="1172"/>
      <c r="GU73" s="382"/>
      <c r="GV73" s="382"/>
      <c r="GW73" s="382"/>
      <c r="GX73" s="382"/>
      <c r="GY73" s="516"/>
      <c r="HA73" s="470"/>
    </row>
    <row r="74" spans="1:211" ht="20.100000000000001" customHeight="1">
      <c r="BC74" s="380"/>
      <c r="DF74" s="380"/>
      <c r="FI74" s="380"/>
      <c r="GT74" s="1172"/>
      <c r="GU74" s="470"/>
      <c r="GV74" s="473"/>
      <c r="GW74" s="470"/>
      <c r="GX74" s="473"/>
      <c r="GY74" s="382"/>
      <c r="HA74" s="567"/>
    </row>
    <row r="75" spans="1:211" ht="20.100000000000001" customHeight="1">
      <c r="BC75" s="380"/>
      <c r="DF75" s="380"/>
      <c r="FI75" s="380"/>
      <c r="GT75" s="382"/>
      <c r="GU75" s="567"/>
      <c r="GV75" s="404"/>
      <c r="GW75" s="567"/>
      <c r="GX75" s="404"/>
      <c r="GY75" s="473"/>
      <c r="HA75" s="517"/>
    </row>
    <row r="76" spans="1:211" ht="20.100000000000001" customHeight="1">
      <c r="BC76" s="380"/>
      <c r="DF76" s="380"/>
      <c r="FI76" s="380"/>
      <c r="GT76" s="473"/>
      <c r="GU76" s="517"/>
      <c r="GV76" s="516"/>
      <c r="GW76" s="517"/>
      <c r="GX76" s="516"/>
      <c r="GY76" s="404"/>
      <c r="HA76" s="517"/>
    </row>
    <row r="77" spans="1:211" ht="20.100000000000001" customHeight="1">
      <c r="BC77" s="380"/>
      <c r="DF77" s="380"/>
      <c r="FI77" s="380"/>
      <c r="GT77" s="840"/>
      <c r="GU77" s="517"/>
      <c r="GV77" s="516"/>
      <c r="GW77" s="517"/>
      <c r="GX77" s="516"/>
      <c r="GZ77" s="516"/>
    </row>
    <row r="78" spans="1:211" ht="20.100000000000001" customHeight="1">
      <c r="BC78" s="380"/>
      <c r="DF78" s="380"/>
      <c r="FI78" s="380"/>
      <c r="GT78" s="1172"/>
      <c r="GZ78" s="516"/>
    </row>
    <row r="79" spans="1:211" ht="20.100000000000001" customHeight="1">
      <c r="BC79" s="380"/>
      <c r="DF79" s="380"/>
      <c r="FI79" s="380"/>
      <c r="GT79" s="1172"/>
    </row>
    <row r="80" spans="1:211" ht="20.100000000000001" customHeight="1">
      <c r="BC80" s="380"/>
      <c r="DF80" s="380"/>
      <c r="FI80" s="380"/>
    </row>
    <row r="81" spans="55:165" ht="20.100000000000001" customHeight="1">
      <c r="BC81" s="380"/>
      <c r="DF81" s="380"/>
      <c r="FI81" s="380"/>
    </row>
    <row r="82" spans="55:165" ht="20.100000000000001" customHeight="1">
      <c r="BC82" s="380"/>
      <c r="DF82" s="380"/>
      <c r="FI82" s="380"/>
    </row>
    <row r="83" spans="55:165" ht="20.100000000000001" customHeight="1">
      <c r="BC83" s="380"/>
      <c r="DF83" s="380"/>
      <c r="FI83" s="380"/>
    </row>
    <row r="84" spans="55:165" ht="20.100000000000001" customHeight="1">
      <c r="BC84" s="380"/>
      <c r="DF84" s="380"/>
      <c r="FI84" s="380"/>
    </row>
    <row r="85" spans="55:165" ht="20.100000000000001" customHeight="1">
      <c r="BC85" s="380"/>
      <c r="DF85" s="380"/>
      <c r="FI85" s="380"/>
    </row>
    <row r="86" spans="55:165" ht="20.100000000000001" customHeight="1">
      <c r="BC86" s="380"/>
      <c r="DF86" s="380"/>
    </row>
    <row r="87" spans="55:165" ht="20.100000000000001" customHeight="1">
      <c r="BC87" s="380"/>
      <c r="DF87" s="380"/>
    </row>
    <row r="88" spans="55:165" ht="20.100000000000001" customHeight="1">
      <c r="BC88" s="380"/>
      <c r="DF88" s="380"/>
    </row>
    <row r="89" spans="55:165" ht="20.100000000000001" customHeight="1">
      <c r="BC89" s="380"/>
      <c r="DF89" s="380"/>
    </row>
  </sheetData>
  <dataConsolidate/>
  <mergeCells count="329">
    <mergeCell ref="GB59:GC59"/>
    <mergeCell ref="GB61:GC61"/>
    <mergeCell ref="GD59:GE59"/>
    <mergeCell ref="GD61:GE61"/>
    <mergeCell ref="FV59:FW59"/>
    <mergeCell ref="FX59:FY59"/>
    <mergeCell ref="FZ59:GA59"/>
    <mergeCell ref="FV61:FW61"/>
    <mergeCell ref="FX61:FY61"/>
    <mergeCell ref="FZ61:GA61"/>
    <mergeCell ref="DM68:FH68"/>
    <mergeCell ref="FJ68:FM68"/>
    <mergeCell ref="FP68:FU68"/>
    <mergeCell ref="FV68:GC68"/>
    <mergeCell ref="GD68:GE68"/>
    <mergeCell ref="DK63:DL64"/>
    <mergeCell ref="FJ63:FM64"/>
    <mergeCell ref="FN63:FO64"/>
    <mergeCell ref="GD65:GE65"/>
    <mergeCell ref="FV66:GC66"/>
    <mergeCell ref="A68:D68"/>
    <mergeCell ref="G68:BB68"/>
    <mergeCell ref="BD68:BG68"/>
    <mergeCell ref="BJ68:DE68"/>
    <mergeCell ref="DG68:DJ68"/>
    <mergeCell ref="DK56:DL57"/>
    <mergeCell ref="FJ56:FM57"/>
    <mergeCell ref="FN56:FO57"/>
    <mergeCell ref="A63:D64"/>
    <mergeCell ref="E63:F64"/>
    <mergeCell ref="BD63:BG64"/>
    <mergeCell ref="BH63:BI64"/>
    <mergeCell ref="DG63:DJ64"/>
    <mergeCell ref="GN51:GN52"/>
    <mergeCell ref="GO51:GO52"/>
    <mergeCell ref="GP51:GP52"/>
    <mergeCell ref="GQ51:GQ52"/>
    <mergeCell ref="GU54:GX54"/>
    <mergeCell ref="A56:D57"/>
    <mergeCell ref="E56:F57"/>
    <mergeCell ref="BD56:BG57"/>
    <mergeCell ref="BH56:BI57"/>
    <mergeCell ref="DG56:DJ57"/>
    <mergeCell ref="FX49:FY51"/>
    <mergeCell ref="FZ49:GA51"/>
    <mergeCell ref="GB49:GC51"/>
    <mergeCell ref="GD49:GE51"/>
    <mergeCell ref="GL51:GL52"/>
    <mergeCell ref="GM51:GM52"/>
    <mergeCell ref="GQ44:GR44"/>
    <mergeCell ref="BA46:BB46"/>
    <mergeCell ref="DD46:DE46"/>
    <mergeCell ref="FG46:FH46"/>
    <mergeCell ref="FT46:FU46"/>
    <mergeCell ref="A48:A51"/>
    <mergeCell ref="BD48:BD51"/>
    <mergeCell ref="DG48:DG51"/>
    <mergeCell ref="FJ48:FJ51"/>
    <mergeCell ref="FV49:FW51"/>
    <mergeCell ref="FV44:FW46"/>
    <mergeCell ref="FX44:FY46"/>
    <mergeCell ref="FZ44:GA46"/>
    <mergeCell ref="GB44:GC46"/>
    <mergeCell ref="GD44:GE46"/>
    <mergeCell ref="GM44:GN44"/>
    <mergeCell ref="GO41:GP41"/>
    <mergeCell ref="GQ41:GR41"/>
    <mergeCell ref="GM42:GN42"/>
    <mergeCell ref="GO42:GP42"/>
    <mergeCell ref="GQ42:GR42"/>
    <mergeCell ref="GK43:GL44"/>
    <mergeCell ref="GM43:GN43"/>
    <mergeCell ref="GO43:GP43"/>
    <mergeCell ref="GQ43:GR43"/>
    <mergeCell ref="GO44:GP44"/>
    <mergeCell ref="GK39:GL40"/>
    <mergeCell ref="GM39:GN40"/>
    <mergeCell ref="GO39:GP40"/>
    <mergeCell ref="GQ39:GR40"/>
    <mergeCell ref="A41:A44"/>
    <mergeCell ref="BD41:BD44"/>
    <mergeCell ref="DG41:DG44"/>
    <mergeCell ref="FJ41:FJ44"/>
    <mergeCell ref="GK41:GL42"/>
    <mergeCell ref="GM41:GN41"/>
    <mergeCell ref="GU37:GV37"/>
    <mergeCell ref="C38:D38"/>
    <mergeCell ref="E38:F38"/>
    <mergeCell ref="BF38:BG38"/>
    <mergeCell ref="BH38:BI38"/>
    <mergeCell ref="DI38:DJ38"/>
    <mergeCell ref="DK38:DL38"/>
    <mergeCell ref="FL38:FM38"/>
    <mergeCell ref="FN38:FO38"/>
    <mergeCell ref="GU38:GZ38"/>
    <mergeCell ref="DG37:DG40"/>
    <mergeCell ref="DI37:DJ37"/>
    <mergeCell ref="DK37:DL37"/>
    <mergeCell ref="FJ37:FJ40"/>
    <mergeCell ref="FL37:FM37"/>
    <mergeCell ref="FN37:FO37"/>
    <mergeCell ref="DI39:DJ39"/>
    <mergeCell ref="DK39:DL39"/>
    <mergeCell ref="FL39:FM39"/>
    <mergeCell ref="FN39:FO39"/>
    <mergeCell ref="A37:A40"/>
    <mergeCell ref="C37:D37"/>
    <mergeCell ref="E37:F37"/>
    <mergeCell ref="BD37:BD40"/>
    <mergeCell ref="BF37:BG37"/>
    <mergeCell ref="BH37:BI37"/>
    <mergeCell ref="C39:D39"/>
    <mergeCell ref="E39:F39"/>
    <mergeCell ref="BF39:BG39"/>
    <mergeCell ref="BH39:BI39"/>
    <mergeCell ref="GU33:GV33"/>
    <mergeCell ref="A34:A36"/>
    <mergeCell ref="BD34:BD36"/>
    <mergeCell ref="DG34:DG36"/>
    <mergeCell ref="FJ34:FJ36"/>
    <mergeCell ref="GK34:GP34"/>
    <mergeCell ref="GU34:GV34"/>
    <mergeCell ref="GU35:GV35"/>
    <mergeCell ref="GK36:GP36"/>
    <mergeCell ref="GU36:GV36"/>
    <mergeCell ref="GY31:GY32"/>
    <mergeCell ref="GZ31:GZ32"/>
    <mergeCell ref="HA31:HA32"/>
    <mergeCell ref="B32:C32"/>
    <mergeCell ref="BE32:BF32"/>
    <mergeCell ref="DH32:DI32"/>
    <mergeCell ref="FK32:FL32"/>
    <mergeCell ref="B31:C31"/>
    <mergeCell ref="BE31:BF31"/>
    <mergeCell ref="DH31:DI31"/>
    <mergeCell ref="FK31:FL31"/>
    <mergeCell ref="GW31:GW32"/>
    <mergeCell ref="GX31:GX32"/>
    <mergeCell ref="GK22:GN22"/>
    <mergeCell ref="GU22:GY22"/>
    <mergeCell ref="HA22:HB22"/>
    <mergeCell ref="A27:A33"/>
    <mergeCell ref="BD27:BD33"/>
    <mergeCell ref="DG27:DG33"/>
    <mergeCell ref="FJ27:FJ33"/>
    <mergeCell ref="GU30:GV32"/>
    <mergeCell ref="GW30:HA30"/>
    <mergeCell ref="HB30:HB32"/>
    <mergeCell ref="GK20:GL20"/>
    <mergeCell ref="GU20:GV20"/>
    <mergeCell ref="GX20:GY20"/>
    <mergeCell ref="HA20:HB20"/>
    <mergeCell ref="GK21:GM21"/>
    <mergeCell ref="GU21:GW21"/>
    <mergeCell ref="GX21:GY21"/>
    <mergeCell ref="HA21:HB21"/>
    <mergeCell ref="GK18:GL18"/>
    <mergeCell ref="GU18:GV18"/>
    <mergeCell ref="GX18:GY18"/>
    <mergeCell ref="HA18:HB18"/>
    <mergeCell ref="GK19:GL19"/>
    <mergeCell ref="GU19:GV19"/>
    <mergeCell ref="GX19:GY19"/>
    <mergeCell ref="HA19:HB19"/>
    <mergeCell ref="HA15:HB15"/>
    <mergeCell ref="GK16:GL16"/>
    <mergeCell ref="GU16:GV16"/>
    <mergeCell ref="GX16:GY16"/>
    <mergeCell ref="HA16:HB16"/>
    <mergeCell ref="GK17:GL17"/>
    <mergeCell ref="GU17:GV17"/>
    <mergeCell ref="GX17:GY17"/>
    <mergeCell ref="HA17:HB17"/>
    <mergeCell ref="GU14:GV14"/>
    <mergeCell ref="GX14:GY14"/>
    <mergeCell ref="HA14:HB14"/>
    <mergeCell ref="A15:A26"/>
    <mergeCell ref="BD15:BD26"/>
    <mergeCell ref="DG15:DG26"/>
    <mergeCell ref="FJ15:FJ26"/>
    <mergeCell ref="GK15:GL15"/>
    <mergeCell ref="GU15:GV15"/>
    <mergeCell ref="GX15:GY15"/>
    <mergeCell ref="GD10:GE43"/>
    <mergeCell ref="GK12:GL12"/>
    <mergeCell ref="GU12:GV12"/>
    <mergeCell ref="GX12:GY12"/>
    <mergeCell ref="HA12:HB12"/>
    <mergeCell ref="GK13:GL13"/>
    <mergeCell ref="GU13:GV13"/>
    <mergeCell ref="GX13:GY13"/>
    <mergeCell ref="HA13:HB13"/>
    <mergeCell ref="GK14:GL14"/>
    <mergeCell ref="FJ7:FO8"/>
    <mergeCell ref="FV7:GE9"/>
    <mergeCell ref="A9:A14"/>
    <mergeCell ref="BD9:BD14"/>
    <mergeCell ref="DG9:DG14"/>
    <mergeCell ref="FJ9:FJ14"/>
    <mergeCell ref="FV10:FW43"/>
    <mergeCell ref="FX10:FY43"/>
    <mergeCell ref="FZ10:GA43"/>
    <mergeCell ref="GB10:GC43"/>
    <mergeCell ref="GA6:GB6"/>
    <mergeCell ref="GE6:GF6"/>
    <mergeCell ref="GK6:GM6"/>
    <mergeCell ref="GU6:GW6"/>
    <mergeCell ref="A7:F8"/>
    <mergeCell ref="G7:BB7"/>
    <mergeCell ref="BD7:BI8"/>
    <mergeCell ref="BJ7:DE7"/>
    <mergeCell ref="DG7:DL8"/>
    <mergeCell ref="DM7:FH7"/>
    <mergeCell ref="DX6:DY6"/>
    <mergeCell ref="EB6:EC6"/>
    <mergeCell ref="FL6:FN6"/>
    <mergeCell ref="FO6:FP6"/>
    <mergeCell ref="FQ6:FU6"/>
    <mergeCell ref="FV6:FW6"/>
    <mergeCell ref="BY6:BZ6"/>
    <mergeCell ref="CE6:CF6"/>
    <mergeCell ref="DI6:DK6"/>
    <mergeCell ref="DL6:DM6"/>
    <mergeCell ref="DN6:DR6"/>
    <mergeCell ref="DS6:DT6"/>
    <mergeCell ref="AB6:AC6"/>
    <mergeCell ref="BF6:BH6"/>
    <mergeCell ref="BI6:BJ6"/>
    <mergeCell ref="BK6:BO6"/>
    <mergeCell ref="BP6:BQ6"/>
    <mergeCell ref="BU6:BV6"/>
    <mergeCell ref="C6:E6"/>
    <mergeCell ref="F6:G6"/>
    <mergeCell ref="H6:L6"/>
    <mergeCell ref="M6:N6"/>
    <mergeCell ref="R6:S6"/>
    <mergeCell ref="V6:W6"/>
    <mergeCell ref="FX5:FY5"/>
    <mergeCell ref="FZ5:GA5"/>
    <mergeCell ref="GB5:GC5"/>
    <mergeCell ref="GD5:GE5"/>
    <mergeCell ref="GK5:GM5"/>
    <mergeCell ref="GU5:GW5"/>
    <mergeCell ref="DQ5:DR5"/>
    <mergeCell ref="DS5:DT5"/>
    <mergeCell ref="DU5:DV5"/>
    <mergeCell ref="DW5:DX5"/>
    <mergeCell ref="DY5:DZ5"/>
    <mergeCell ref="EA5:EB5"/>
    <mergeCell ref="BR5:BS5"/>
    <mergeCell ref="BT5:BU5"/>
    <mergeCell ref="BV5:BW5"/>
    <mergeCell ref="BX5:BY5"/>
    <mergeCell ref="DM5:DN5"/>
    <mergeCell ref="DO5:DP5"/>
    <mergeCell ref="S5:T5"/>
    <mergeCell ref="U5:V5"/>
    <mergeCell ref="BJ5:BK5"/>
    <mergeCell ref="BL5:BM5"/>
    <mergeCell ref="BN5:BO5"/>
    <mergeCell ref="BP5:BQ5"/>
    <mergeCell ref="G5:H5"/>
    <mergeCell ref="I5:J5"/>
    <mergeCell ref="K5:L5"/>
    <mergeCell ref="M5:N5"/>
    <mergeCell ref="O5:P5"/>
    <mergeCell ref="Q5:R5"/>
    <mergeCell ref="EC4:EE5"/>
    <mergeCell ref="FX4:FY4"/>
    <mergeCell ref="FZ4:GA4"/>
    <mergeCell ref="GB4:GC4"/>
    <mergeCell ref="GD4:GE4"/>
    <mergeCell ref="GF4:GH5"/>
    <mergeCell ref="FP5:FQ5"/>
    <mergeCell ref="FR5:FS5"/>
    <mergeCell ref="FT5:FU5"/>
    <mergeCell ref="FV5:FW5"/>
    <mergeCell ref="FX3:GE3"/>
    <mergeCell ref="GF3:GH3"/>
    <mergeCell ref="GJ3:GR3"/>
    <mergeCell ref="GT3:HB3"/>
    <mergeCell ref="O4:P4"/>
    <mergeCell ref="Q4:R4"/>
    <mergeCell ref="S4:T4"/>
    <mergeCell ref="U4:V4"/>
    <mergeCell ref="W4:Y5"/>
    <mergeCell ref="BR4:BS4"/>
    <mergeCell ref="FJ3:FJ4"/>
    <mergeCell ref="FK3:FK4"/>
    <mergeCell ref="FL3:FL4"/>
    <mergeCell ref="FM3:FS4"/>
    <mergeCell ref="FT3:FU4"/>
    <mergeCell ref="FV3:FW4"/>
    <mergeCell ref="DI3:DI4"/>
    <mergeCell ref="DJ3:DP4"/>
    <mergeCell ref="DQ3:DR4"/>
    <mergeCell ref="DS3:DT4"/>
    <mergeCell ref="DU3:EB3"/>
    <mergeCell ref="EC3:EE3"/>
    <mergeCell ref="DU4:DV4"/>
    <mergeCell ref="DW4:DX4"/>
    <mergeCell ref="DY4:DZ4"/>
    <mergeCell ref="EA4:EB4"/>
    <mergeCell ref="BN3:BO4"/>
    <mergeCell ref="BP3:BQ4"/>
    <mergeCell ref="BR3:BY3"/>
    <mergeCell ref="BZ3:CB3"/>
    <mergeCell ref="DG3:DG4"/>
    <mergeCell ref="DH3:DH4"/>
    <mergeCell ref="BT4:BU4"/>
    <mergeCell ref="BV4:BW4"/>
    <mergeCell ref="BX4:BY4"/>
    <mergeCell ref="BZ4:CB5"/>
    <mergeCell ref="O3:V3"/>
    <mergeCell ref="W3:Y3"/>
    <mergeCell ref="BD3:BD4"/>
    <mergeCell ref="BE3:BE4"/>
    <mergeCell ref="BF3:BF4"/>
    <mergeCell ref="BG3:BM4"/>
    <mergeCell ref="H1:I1"/>
    <mergeCell ref="BK1:BL1"/>
    <mergeCell ref="DN1:DO1"/>
    <mergeCell ref="FQ1:FR1"/>
    <mergeCell ref="A3:A4"/>
    <mergeCell ref="B3:B4"/>
    <mergeCell ref="C3:C4"/>
    <mergeCell ref="D3:J4"/>
    <mergeCell ref="K3:L4"/>
    <mergeCell ref="M3:N4"/>
  </mergeCells>
  <phoneticPr fontId="3"/>
  <printOptions horizontalCentered="1" gridLinesSet="0"/>
  <pageMargins left="0.39370078740157483" right="0.19685039370078741" top="0.62992125984251968" bottom="0.47244094488188981" header="0.15748031496062992" footer="0.31496062992125984"/>
  <pageSetup paperSize="9" scale="36" fitToWidth="0" orientation="landscape" horizontalDpi="4294967292" verticalDpi="400" r:id="rId1"/>
  <headerFooter scaleWithDoc="0">
    <oddFooter>&amp;C&amp;"ＭＳ Ｐゴシック,標準"&amp;9( &amp;P / &amp;N )</oddFooter>
  </headerFooter>
  <rowBreaks count="1" manualBreakCount="1">
    <brk id="1" max="210" man="1"/>
  </rowBreaks>
  <colBreaks count="3" manualBreakCount="3">
    <brk id="55" max="68" man="1"/>
    <brk id="110" max="68" man="1"/>
    <brk id="165" max="6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13"/>
  <sheetViews>
    <sheetView showGridLines="0" zoomScale="90" zoomScaleNormal="90" workbookViewId="0">
      <selection sqref="A1:E1"/>
    </sheetView>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711</v>
      </c>
    </row>
    <row r="6" spans="1:5" ht="30" customHeight="1">
      <c r="A6" s="6"/>
    </row>
    <row r="7" spans="1:5" ht="30" customHeight="1">
      <c r="A7" s="6" t="s">
        <v>712</v>
      </c>
    </row>
    <row r="8" spans="1:5" ht="30" customHeight="1">
      <c r="A8" s="6"/>
    </row>
    <row r="9" spans="1:5" ht="30" customHeight="1">
      <c r="A9" s="6"/>
    </row>
    <row r="10" spans="1:5" ht="30" customHeight="1">
      <c r="A10" s="6"/>
    </row>
    <row r="11" spans="1:5" ht="30" customHeight="1">
      <c r="A11" s="6"/>
    </row>
    <row r="12" spans="1:5" ht="30" customHeight="1">
      <c r="A12" s="6"/>
    </row>
    <row r="13" spans="1:5" ht="30" customHeight="1">
      <c r="A13" s="6"/>
    </row>
  </sheetData>
  <sheetProtection insertRows="0" deleteRows="0" sort="0" autoFilter="0"/>
  <phoneticPr fontId="3"/>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oddFooter>&amp;C&amp;"ＭＳ Ｐゴシック,標準"&amp;9( &amp;P / &amp;N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T59"/>
  <sheetViews>
    <sheetView showGridLines="0" zoomScale="80" zoomScaleNormal="80" workbookViewId="0">
      <pane xSplit="6" ySplit="6" topLeftCell="G7" activePane="bottomRight" state="frozenSplit"/>
      <selection sqref="A1:E1"/>
      <selection pane="topRight" sqref="A1:E1"/>
      <selection pane="bottomLeft" sqref="A1:E1"/>
      <selection pane="bottomRight" sqref="A1:E1"/>
    </sheetView>
  </sheetViews>
  <sheetFormatPr defaultColWidth="9.140625" defaultRowHeight="13.5" customHeight="1"/>
  <cols>
    <col min="1" max="1" width="5.42578125" style="1308" customWidth="1"/>
    <col min="2" max="2" width="7.5703125" style="1308" customWidth="1"/>
    <col min="3" max="3" width="26.28515625" style="1308" customWidth="1"/>
    <col min="4" max="6" width="7.7109375" style="1308" customWidth="1"/>
    <col min="7" max="7" width="7.7109375" style="1308" hidden="1" customWidth="1"/>
    <col min="8" max="8" width="7.7109375" style="1308" customWidth="1"/>
    <col min="9" max="10" width="7.7109375" style="1308" hidden="1" customWidth="1"/>
    <col min="11" max="14" width="7.7109375" style="1308" customWidth="1"/>
    <col min="15" max="16" width="7.7109375" style="1308" hidden="1" customWidth="1"/>
    <col min="17" max="25" width="7.7109375" style="1308" customWidth="1"/>
    <col min="26" max="27" width="9.140625" style="1304"/>
    <col min="28" max="43" width="9.140625" style="1307"/>
    <col min="44" max="44" width="9.140625" style="1306"/>
    <col min="45" max="46" width="9.140625" style="1305"/>
    <col min="47" max="16384" width="9.140625" style="1304"/>
  </cols>
  <sheetData>
    <row r="1" spans="1:46" s="1424" customFormat="1" ht="24" customHeight="1" thickBot="1">
      <c r="A1" s="1436" t="s">
        <v>749</v>
      </c>
      <c r="B1" s="1435"/>
      <c r="C1" s="1434"/>
      <c r="D1" s="1433"/>
      <c r="E1" s="1432"/>
      <c r="F1" s="1431"/>
      <c r="G1" s="1431"/>
      <c r="H1" s="1432"/>
      <c r="I1" s="1432"/>
      <c r="J1" s="1432"/>
      <c r="K1" s="1431"/>
      <c r="L1" s="1431"/>
      <c r="M1" s="1430"/>
      <c r="N1" s="1431"/>
      <c r="O1" s="1432"/>
      <c r="P1" s="1432"/>
      <c r="Q1" s="1431"/>
      <c r="R1" s="1431"/>
      <c r="S1" s="1430"/>
      <c r="T1" s="1430"/>
      <c r="U1" s="1430"/>
      <c r="V1" s="1430"/>
      <c r="W1" s="1430"/>
      <c r="X1" s="1430"/>
      <c r="Y1" s="1429"/>
      <c r="AB1" s="1428" t="s">
        <v>748</v>
      </c>
      <c r="AC1" s="1427"/>
      <c r="AD1" s="1427"/>
      <c r="AE1" s="1427"/>
      <c r="AF1" s="1427"/>
      <c r="AG1" s="1427"/>
      <c r="AH1" s="1427"/>
      <c r="AI1" s="1427"/>
      <c r="AJ1" s="1427"/>
      <c r="AK1" s="1427"/>
      <c r="AL1" s="1427"/>
      <c r="AM1" s="1427"/>
      <c r="AN1" s="1427"/>
      <c r="AO1" s="1427"/>
      <c r="AP1" s="1427"/>
      <c r="AQ1" s="1427"/>
      <c r="AR1" s="1426"/>
      <c r="AS1" s="1425"/>
      <c r="AT1" s="1425"/>
    </row>
    <row r="2" spans="1:46" ht="13.5" customHeight="1">
      <c r="AB2" s="1423" t="s">
        <v>747</v>
      </c>
      <c r="AC2" s="1422"/>
      <c r="AD2" s="1422"/>
      <c r="AE2" s="1422"/>
      <c r="AF2" s="1422"/>
      <c r="AG2" s="1422"/>
      <c r="AH2" s="1422"/>
      <c r="AI2" s="1421"/>
      <c r="AJ2" s="1420" t="s">
        <v>746</v>
      </c>
      <c r="AK2" s="1420"/>
      <c r="AL2" s="1420"/>
      <c r="AM2" s="1420"/>
      <c r="AN2" s="1420"/>
      <c r="AO2" s="1420"/>
      <c r="AP2" s="1420"/>
      <c r="AQ2" s="1419"/>
      <c r="AS2" s="1418" t="s">
        <v>745</v>
      </c>
      <c r="AT2" s="1417"/>
    </row>
    <row r="3" spans="1:46" ht="13.5" customHeight="1">
      <c r="H3" s="1308" t="s">
        <v>752</v>
      </c>
      <c r="Y3" s="1416" t="s">
        <v>753</v>
      </c>
      <c r="AB3" s="1415"/>
      <c r="AC3" s="1414"/>
      <c r="AD3" s="1414"/>
      <c r="AE3" s="1414"/>
      <c r="AF3" s="1414"/>
      <c r="AG3" s="1414"/>
      <c r="AH3" s="1414"/>
      <c r="AI3" s="1413"/>
      <c r="AJ3" s="1412"/>
      <c r="AK3" s="1412"/>
      <c r="AL3" s="1412"/>
      <c r="AM3" s="1412"/>
      <c r="AN3" s="1412"/>
      <c r="AO3" s="1412"/>
      <c r="AP3" s="1412"/>
      <c r="AQ3" s="1411"/>
      <c r="AS3" s="1410"/>
      <c r="AT3" s="1409"/>
    </row>
    <row r="4" spans="1:46" ht="13.5" customHeight="1" thickBot="1">
      <c r="A4" s="1408" t="s">
        <v>347</v>
      </c>
      <c r="B4" s="1407" t="s">
        <v>334</v>
      </c>
      <c r="C4" s="1407" t="s">
        <v>744</v>
      </c>
      <c r="D4" s="1406" t="s">
        <v>743</v>
      </c>
      <c r="E4" s="1406" t="s">
        <v>742</v>
      </c>
      <c r="F4" s="1405" t="s">
        <v>741</v>
      </c>
      <c r="G4" s="1404"/>
      <c r="H4" s="1399" t="s">
        <v>740</v>
      </c>
      <c r="I4" s="1398"/>
      <c r="J4" s="1398"/>
      <c r="K4" s="1398"/>
      <c r="L4" s="1402"/>
      <c r="M4" s="1403" t="s">
        <v>739</v>
      </c>
      <c r="N4" s="1399" t="s">
        <v>738</v>
      </c>
      <c r="O4" s="1398"/>
      <c r="P4" s="1398"/>
      <c r="Q4" s="1398"/>
      <c r="R4" s="1402"/>
      <c r="S4" s="1401" t="s">
        <v>737</v>
      </c>
      <c r="T4" s="1400"/>
      <c r="U4" s="1399" t="s">
        <v>736</v>
      </c>
      <c r="V4" s="1398"/>
      <c r="W4" s="1398"/>
      <c r="X4" s="1397"/>
      <c r="Y4" s="1396" t="s">
        <v>735</v>
      </c>
      <c r="AB4" s="1395" t="s">
        <v>734</v>
      </c>
      <c r="AC4" s="1395"/>
      <c r="AD4" s="1395"/>
      <c r="AE4" s="1395"/>
      <c r="AF4" s="1394" t="s">
        <v>733</v>
      </c>
      <c r="AG4" s="1394"/>
      <c r="AH4" s="1394"/>
      <c r="AI4" s="1394"/>
      <c r="AJ4" s="1395" t="s">
        <v>734</v>
      </c>
      <c r="AK4" s="1395"/>
      <c r="AL4" s="1395"/>
      <c r="AM4" s="1395"/>
      <c r="AN4" s="1394" t="s">
        <v>733</v>
      </c>
      <c r="AO4" s="1394"/>
      <c r="AP4" s="1394"/>
      <c r="AQ4" s="1394"/>
      <c r="AS4" s="1393"/>
      <c r="AT4" s="1392"/>
    </row>
    <row r="5" spans="1:46" ht="22.5" customHeight="1">
      <c r="A5" s="1376"/>
      <c r="B5" s="1375"/>
      <c r="C5" s="1375"/>
      <c r="D5" s="1374"/>
      <c r="E5" s="1374"/>
      <c r="F5" s="1373"/>
      <c r="G5" s="1391"/>
      <c r="H5" s="1469" t="s">
        <v>751</v>
      </c>
      <c r="I5" s="1466"/>
      <c r="J5" s="1467"/>
      <c r="K5" s="1388" t="s">
        <v>732</v>
      </c>
      <c r="L5" s="1390" t="s">
        <v>731</v>
      </c>
      <c r="M5" s="1389"/>
      <c r="N5" s="1469" t="s">
        <v>751</v>
      </c>
      <c r="O5" s="1466"/>
      <c r="P5" s="1467"/>
      <c r="Q5" s="1388" t="s">
        <v>732</v>
      </c>
      <c r="R5" s="1387" t="s">
        <v>731</v>
      </c>
      <c r="S5" s="1386"/>
      <c r="T5" s="1385"/>
      <c r="U5" s="1363" t="s">
        <v>730</v>
      </c>
      <c r="V5" s="1362" t="s">
        <v>729</v>
      </c>
      <c r="W5" s="1362" t="s">
        <v>728</v>
      </c>
      <c r="X5" s="1384" t="s">
        <v>727</v>
      </c>
      <c r="Y5" s="1360"/>
      <c r="AB5" s="1381" t="s">
        <v>726</v>
      </c>
      <c r="AC5" s="1380" t="s">
        <v>725</v>
      </c>
      <c r="AD5" s="1380" t="s">
        <v>724</v>
      </c>
      <c r="AE5" s="1379" t="s">
        <v>723</v>
      </c>
      <c r="AF5" s="1383" t="s">
        <v>726</v>
      </c>
      <c r="AG5" s="1380" t="s">
        <v>725</v>
      </c>
      <c r="AH5" s="1380" t="s">
        <v>724</v>
      </c>
      <c r="AI5" s="1379" t="s">
        <v>723</v>
      </c>
      <c r="AJ5" s="1383" t="s">
        <v>726</v>
      </c>
      <c r="AK5" s="1380" t="s">
        <v>725</v>
      </c>
      <c r="AL5" s="1380" t="s">
        <v>724</v>
      </c>
      <c r="AM5" s="1382" t="s">
        <v>723</v>
      </c>
      <c r="AN5" s="1381" t="s">
        <v>726</v>
      </c>
      <c r="AO5" s="1380" t="s">
        <v>725</v>
      </c>
      <c r="AP5" s="1380" t="s">
        <v>724</v>
      </c>
      <c r="AQ5" s="1379" t="s">
        <v>723</v>
      </c>
      <c r="AS5" s="1378" t="s">
        <v>722</v>
      </c>
      <c r="AT5" s="1377" t="s">
        <v>721</v>
      </c>
    </row>
    <row r="6" spans="1:46" ht="13.5" customHeight="1">
      <c r="A6" s="1376"/>
      <c r="B6" s="1375"/>
      <c r="C6" s="1375"/>
      <c r="D6" s="1374"/>
      <c r="E6" s="1374"/>
      <c r="F6" s="1373"/>
      <c r="G6" s="1372"/>
      <c r="H6" s="1468"/>
      <c r="I6" s="1369" t="s">
        <v>720</v>
      </c>
      <c r="J6" s="1368" t="s">
        <v>719</v>
      </c>
      <c r="K6" s="1367"/>
      <c r="L6" s="1371"/>
      <c r="M6" s="1370"/>
      <c r="N6" s="1468"/>
      <c r="O6" s="1369" t="s">
        <v>720</v>
      </c>
      <c r="P6" s="1368" t="s">
        <v>719</v>
      </c>
      <c r="Q6" s="1367"/>
      <c r="R6" s="1366"/>
      <c r="S6" s="1365" t="s">
        <v>718</v>
      </c>
      <c r="T6" s="1364" t="s">
        <v>717</v>
      </c>
      <c r="U6" s="1363"/>
      <c r="V6" s="1362"/>
      <c r="W6" s="1362"/>
      <c r="X6" s="1361"/>
      <c r="Y6" s="1360"/>
      <c r="AB6" s="1357" t="s">
        <v>716</v>
      </c>
      <c r="AC6" s="1356" t="s">
        <v>715</v>
      </c>
      <c r="AD6" s="1356" t="s">
        <v>714</v>
      </c>
      <c r="AE6" s="1355" t="s">
        <v>713</v>
      </c>
      <c r="AF6" s="1359" t="s">
        <v>716</v>
      </c>
      <c r="AG6" s="1356" t="s">
        <v>715</v>
      </c>
      <c r="AH6" s="1356" t="s">
        <v>714</v>
      </c>
      <c r="AI6" s="1355" t="s">
        <v>713</v>
      </c>
      <c r="AJ6" s="1359" t="s">
        <v>716</v>
      </c>
      <c r="AK6" s="1356" t="s">
        <v>715</v>
      </c>
      <c r="AL6" s="1356" t="s">
        <v>714</v>
      </c>
      <c r="AM6" s="1358" t="s">
        <v>713</v>
      </c>
      <c r="AN6" s="1357" t="s">
        <v>716</v>
      </c>
      <c r="AO6" s="1356" t="s">
        <v>715</v>
      </c>
      <c r="AP6" s="1356" t="s">
        <v>714</v>
      </c>
      <c r="AQ6" s="1355" t="s">
        <v>713</v>
      </c>
      <c r="AS6" s="1354"/>
      <c r="AT6" s="1353"/>
    </row>
    <row r="7" spans="1:46" ht="13.5" customHeight="1">
      <c r="A7" s="1352">
        <v>2</v>
      </c>
      <c r="B7" s="1351">
        <v>201</v>
      </c>
      <c r="C7" s="1350" t="s">
        <v>323</v>
      </c>
      <c r="D7" s="1349">
        <v>56.25</v>
      </c>
      <c r="E7" s="1348">
        <v>2.7</v>
      </c>
      <c r="F7" s="1347">
        <v>151.9</v>
      </c>
      <c r="G7" s="1346"/>
      <c r="H7" s="1339">
        <v>4339</v>
      </c>
      <c r="I7" s="1338"/>
      <c r="J7" s="1336">
        <v>4339</v>
      </c>
      <c r="K7" s="1338">
        <v>396</v>
      </c>
      <c r="L7" s="1345">
        <v>4735</v>
      </c>
      <c r="M7" s="1344"/>
      <c r="N7" s="1338">
        <v>1855</v>
      </c>
      <c r="O7" s="1338"/>
      <c r="P7" s="1336">
        <v>1855</v>
      </c>
      <c r="Q7" s="1343">
        <v>0</v>
      </c>
      <c r="R7" s="1342">
        <v>1855</v>
      </c>
      <c r="S7" s="1341">
        <v>12.36</v>
      </c>
      <c r="T7" s="1340">
        <v>4.2100000000000009</v>
      </c>
      <c r="U7" s="1339">
        <v>180</v>
      </c>
      <c r="V7" s="1338">
        <v>1050</v>
      </c>
      <c r="W7" s="1337"/>
      <c r="X7" s="1336">
        <v>1050</v>
      </c>
      <c r="Y7" s="1335">
        <v>6.9</v>
      </c>
      <c r="AB7" s="1307">
        <v>28</v>
      </c>
      <c r="AC7" s="1307">
        <v>45</v>
      </c>
      <c r="AD7" s="1307">
        <v>55.4</v>
      </c>
      <c r="AE7" s="1307">
        <v>10.7</v>
      </c>
      <c r="AF7" s="1307">
        <v>19</v>
      </c>
      <c r="AG7" s="1307">
        <v>40</v>
      </c>
      <c r="AH7" s="1307">
        <v>33</v>
      </c>
      <c r="AI7" s="1307">
        <v>5.5</v>
      </c>
      <c r="AJ7" s="1307">
        <v>28</v>
      </c>
      <c r="AK7" s="1307">
        <v>44</v>
      </c>
      <c r="AL7" s="1307">
        <v>54.8</v>
      </c>
      <c r="AM7" s="1307">
        <v>10.5</v>
      </c>
      <c r="AN7" s="1307">
        <v>17.899999999999999</v>
      </c>
      <c r="AO7" s="1307">
        <v>43</v>
      </c>
      <c r="AP7" s="1307">
        <v>31.9</v>
      </c>
      <c r="AQ7" s="1307">
        <v>5.5</v>
      </c>
      <c r="AS7" s="1305">
        <v>1046.8699999999999</v>
      </c>
      <c r="AT7" s="1305">
        <v>1046.8699999999999</v>
      </c>
    </row>
    <row r="8" spans="1:46" ht="13.5" customHeight="1">
      <c r="A8" s="1334">
        <v>2</v>
      </c>
      <c r="B8" s="1333">
        <v>202</v>
      </c>
      <c r="C8" s="1332" t="s">
        <v>509</v>
      </c>
      <c r="D8" s="1331">
        <v>196.5</v>
      </c>
      <c r="E8" s="1330">
        <v>2.7</v>
      </c>
      <c r="F8" s="1329">
        <v>530.6</v>
      </c>
      <c r="G8" s="1328"/>
      <c r="H8" s="1321">
        <v>15450</v>
      </c>
      <c r="I8" s="1320"/>
      <c r="J8" s="1318">
        <v>15450</v>
      </c>
      <c r="K8" s="1320">
        <v>1914</v>
      </c>
      <c r="L8" s="1327">
        <v>17364</v>
      </c>
      <c r="M8" s="1326"/>
      <c r="N8" s="1320">
        <v>3582</v>
      </c>
      <c r="O8" s="1320"/>
      <c r="P8" s="1318">
        <v>3582</v>
      </c>
      <c r="Q8" s="1325">
        <v>0</v>
      </c>
      <c r="R8" s="1324">
        <v>3582</v>
      </c>
      <c r="S8" s="1323">
        <v>12.36</v>
      </c>
      <c r="T8" s="1322">
        <v>4.2100000000000009</v>
      </c>
      <c r="U8" s="1321">
        <v>870</v>
      </c>
      <c r="V8" s="1320">
        <v>3730</v>
      </c>
      <c r="W8" s="1319"/>
      <c r="X8" s="1318">
        <v>3730</v>
      </c>
      <c r="Y8" s="1317">
        <v>7</v>
      </c>
      <c r="AB8" s="1307">
        <v>28</v>
      </c>
      <c r="AC8" s="1307">
        <v>45</v>
      </c>
      <c r="AD8" s="1307">
        <v>55.4</v>
      </c>
      <c r="AE8" s="1307">
        <v>10.7</v>
      </c>
      <c r="AF8" s="1307">
        <v>19</v>
      </c>
      <c r="AG8" s="1307">
        <v>40</v>
      </c>
      <c r="AH8" s="1307">
        <v>33</v>
      </c>
      <c r="AI8" s="1307">
        <v>5.5</v>
      </c>
      <c r="AJ8" s="1307">
        <v>28</v>
      </c>
      <c r="AK8" s="1307">
        <v>45</v>
      </c>
      <c r="AL8" s="1307">
        <v>55.3</v>
      </c>
      <c r="AM8" s="1307">
        <v>10.6</v>
      </c>
      <c r="AN8" s="1307">
        <v>20.399999999999999</v>
      </c>
      <c r="AO8" s="1307">
        <v>37</v>
      </c>
      <c r="AP8" s="1307">
        <v>34.4</v>
      </c>
      <c r="AQ8" s="1307">
        <v>5.5</v>
      </c>
      <c r="AS8" s="1305">
        <v>3727.63</v>
      </c>
      <c r="AT8" s="1305">
        <v>3727.63</v>
      </c>
    </row>
    <row r="9" spans="1:46" ht="13.5" customHeight="1">
      <c r="A9" s="1334">
        <v>2</v>
      </c>
      <c r="B9" s="1333">
        <v>203</v>
      </c>
      <c r="C9" s="1332" t="s">
        <v>540</v>
      </c>
      <c r="D9" s="1331">
        <v>5.7</v>
      </c>
      <c r="E9" s="1330">
        <v>2.7</v>
      </c>
      <c r="F9" s="1329">
        <v>15.4</v>
      </c>
      <c r="G9" s="1328"/>
      <c r="H9" s="1321">
        <v>78</v>
      </c>
      <c r="I9" s="1320"/>
      <c r="J9" s="1318">
        <v>78</v>
      </c>
      <c r="K9" s="1320">
        <v>0</v>
      </c>
      <c r="L9" s="1327">
        <v>78</v>
      </c>
      <c r="M9" s="1326"/>
      <c r="N9" s="1320">
        <v>147</v>
      </c>
      <c r="O9" s="1320"/>
      <c r="P9" s="1318">
        <v>147</v>
      </c>
      <c r="Q9" s="1325">
        <v>0</v>
      </c>
      <c r="R9" s="1324">
        <v>147</v>
      </c>
      <c r="S9" s="1323">
        <v>12.36</v>
      </c>
      <c r="T9" s="1322">
        <v>4.2100000000000009</v>
      </c>
      <c r="U9" s="1321">
        <v>0</v>
      </c>
      <c r="V9" s="1320">
        <v>20</v>
      </c>
      <c r="W9" s="1319"/>
      <c r="X9" s="1318">
        <v>20</v>
      </c>
      <c r="Y9" s="1317">
        <v>1.3</v>
      </c>
      <c r="AB9" s="1307">
        <v>28</v>
      </c>
      <c r="AC9" s="1307">
        <v>45</v>
      </c>
      <c r="AD9" s="1307">
        <v>55.4</v>
      </c>
      <c r="AE9" s="1307">
        <v>10.7</v>
      </c>
      <c r="AF9" s="1307">
        <v>19</v>
      </c>
      <c r="AG9" s="1307">
        <v>40</v>
      </c>
      <c r="AH9" s="1307">
        <v>33</v>
      </c>
      <c r="AI9" s="1307">
        <v>5.5</v>
      </c>
      <c r="AJ9" s="1307">
        <v>28</v>
      </c>
      <c r="AK9" s="1307">
        <v>42</v>
      </c>
      <c r="AL9" s="1307">
        <v>53.7</v>
      </c>
      <c r="AM9" s="1307">
        <v>10</v>
      </c>
      <c r="AN9" s="1307">
        <v>13.9</v>
      </c>
      <c r="AO9" s="1307">
        <v>55</v>
      </c>
      <c r="AP9" s="1307">
        <v>27.8</v>
      </c>
      <c r="AQ9" s="1307">
        <v>5.5</v>
      </c>
      <c r="AS9" s="1305">
        <v>18.82</v>
      </c>
      <c r="AT9" s="1305">
        <v>18.82</v>
      </c>
    </row>
    <row r="10" spans="1:46" ht="13.5" customHeight="1">
      <c r="A10" s="1334">
        <v>2</v>
      </c>
      <c r="B10" s="1333">
        <v>204</v>
      </c>
      <c r="C10" s="1332" t="s">
        <v>563</v>
      </c>
      <c r="D10" s="1331">
        <v>16.53</v>
      </c>
      <c r="E10" s="1330">
        <v>2.7</v>
      </c>
      <c r="F10" s="1329">
        <v>44.7</v>
      </c>
      <c r="G10" s="1328"/>
      <c r="H10" s="1321">
        <v>1011</v>
      </c>
      <c r="I10" s="1320"/>
      <c r="J10" s="1318">
        <v>1011</v>
      </c>
      <c r="K10" s="1320">
        <v>132</v>
      </c>
      <c r="L10" s="1327">
        <v>1143</v>
      </c>
      <c r="M10" s="1326"/>
      <c r="N10" s="1320">
        <v>447</v>
      </c>
      <c r="O10" s="1320"/>
      <c r="P10" s="1318">
        <v>447</v>
      </c>
      <c r="Q10" s="1325">
        <v>0</v>
      </c>
      <c r="R10" s="1324">
        <v>447</v>
      </c>
      <c r="S10" s="1323">
        <v>12.36</v>
      </c>
      <c r="T10" s="1322">
        <v>4.2100000000000009</v>
      </c>
      <c r="U10" s="1321">
        <v>60</v>
      </c>
      <c r="V10" s="1320">
        <v>250</v>
      </c>
      <c r="W10" s="1319"/>
      <c r="X10" s="1318">
        <v>250</v>
      </c>
      <c r="Y10" s="1317">
        <v>5.6</v>
      </c>
      <c r="AB10" s="1307">
        <v>28</v>
      </c>
      <c r="AC10" s="1307">
        <v>45</v>
      </c>
      <c r="AD10" s="1307">
        <v>55.4</v>
      </c>
      <c r="AE10" s="1307">
        <v>10.7</v>
      </c>
      <c r="AF10" s="1307">
        <v>19</v>
      </c>
      <c r="AG10" s="1307">
        <v>40</v>
      </c>
      <c r="AH10" s="1307">
        <v>33</v>
      </c>
      <c r="AI10" s="1307">
        <v>5.5</v>
      </c>
      <c r="AJ10" s="1307">
        <v>28</v>
      </c>
      <c r="AK10" s="1307">
        <v>45</v>
      </c>
      <c r="AL10" s="1307">
        <v>55.3</v>
      </c>
      <c r="AM10" s="1307">
        <v>10.6</v>
      </c>
      <c r="AN10" s="1307">
        <v>17.899999999999999</v>
      </c>
      <c r="AO10" s="1307">
        <v>43</v>
      </c>
      <c r="AP10" s="1307">
        <v>31.8</v>
      </c>
      <c r="AQ10" s="1307">
        <v>5.5</v>
      </c>
      <c r="AS10" s="1305">
        <v>243.92</v>
      </c>
      <c r="AT10" s="1305">
        <v>243.92</v>
      </c>
    </row>
    <row r="11" spans="1:46" ht="13.5" customHeight="1">
      <c r="A11" s="1334">
        <v>2</v>
      </c>
      <c r="B11" s="1333">
        <v>205</v>
      </c>
      <c r="C11" s="1332" t="s">
        <v>588</v>
      </c>
      <c r="D11" s="1331">
        <v>17.600000000000001</v>
      </c>
      <c r="E11" s="1330">
        <v>2.7</v>
      </c>
      <c r="F11" s="1329">
        <v>47.6</v>
      </c>
      <c r="G11" s="1328"/>
      <c r="H11" s="1321">
        <v>1301</v>
      </c>
      <c r="I11" s="1320"/>
      <c r="J11" s="1318">
        <v>1301</v>
      </c>
      <c r="K11" s="1320">
        <v>132</v>
      </c>
      <c r="L11" s="1327">
        <v>1433</v>
      </c>
      <c r="M11" s="1326"/>
      <c r="N11" s="1320">
        <v>303</v>
      </c>
      <c r="O11" s="1320"/>
      <c r="P11" s="1318">
        <v>303</v>
      </c>
      <c r="Q11" s="1325">
        <v>0</v>
      </c>
      <c r="R11" s="1324">
        <v>303</v>
      </c>
      <c r="S11" s="1323">
        <v>12.36</v>
      </c>
      <c r="T11" s="1322">
        <v>4.2100000000000009</v>
      </c>
      <c r="U11" s="1321">
        <v>60</v>
      </c>
      <c r="V11" s="1320">
        <v>320</v>
      </c>
      <c r="W11" s="1319"/>
      <c r="X11" s="1318">
        <v>320</v>
      </c>
      <c r="Y11" s="1317">
        <v>6.7</v>
      </c>
      <c r="AB11" s="1307">
        <v>28</v>
      </c>
      <c r="AC11" s="1307">
        <v>45</v>
      </c>
      <c r="AD11" s="1307">
        <v>55.4</v>
      </c>
      <c r="AE11" s="1307">
        <v>10.7</v>
      </c>
      <c r="AF11" s="1307">
        <v>19</v>
      </c>
      <c r="AG11" s="1307">
        <v>40</v>
      </c>
      <c r="AH11" s="1307">
        <v>33</v>
      </c>
      <c r="AI11" s="1307">
        <v>5.5</v>
      </c>
      <c r="AJ11" s="1307">
        <v>28</v>
      </c>
      <c r="AK11" s="1307">
        <v>44</v>
      </c>
      <c r="AL11" s="1307">
        <v>54.9</v>
      </c>
      <c r="AM11" s="1307">
        <v>10.5</v>
      </c>
      <c r="AN11" s="1307">
        <v>20.399999999999999</v>
      </c>
      <c r="AO11" s="1307">
        <v>37</v>
      </c>
      <c r="AP11" s="1307">
        <v>34.4</v>
      </c>
      <c r="AQ11" s="1307">
        <v>5.5</v>
      </c>
      <c r="AS11" s="1305">
        <v>313.89</v>
      </c>
      <c r="AT11" s="1305">
        <v>313.89</v>
      </c>
    </row>
    <row r="12" spans="1:46" ht="13.5" customHeight="1">
      <c r="A12" s="1334">
        <v>2</v>
      </c>
      <c r="B12" s="1333">
        <v>206</v>
      </c>
      <c r="C12" s="1332" t="s">
        <v>612</v>
      </c>
      <c r="D12" s="1331">
        <v>30</v>
      </c>
      <c r="E12" s="1330">
        <v>2.7</v>
      </c>
      <c r="F12" s="1329">
        <v>81</v>
      </c>
      <c r="G12" s="1328"/>
      <c r="H12" s="1321">
        <v>2390</v>
      </c>
      <c r="I12" s="1320"/>
      <c r="J12" s="1318">
        <v>2390</v>
      </c>
      <c r="K12" s="1320">
        <v>0</v>
      </c>
      <c r="L12" s="1327">
        <v>2390</v>
      </c>
      <c r="M12" s="1326"/>
      <c r="N12" s="1320">
        <v>1356</v>
      </c>
      <c r="O12" s="1320"/>
      <c r="P12" s="1318">
        <v>1356</v>
      </c>
      <c r="Q12" s="1325">
        <v>0</v>
      </c>
      <c r="R12" s="1324">
        <v>1356</v>
      </c>
      <c r="S12" s="1323">
        <v>12.36</v>
      </c>
      <c r="T12" s="1322">
        <v>4.2100000000000009</v>
      </c>
      <c r="U12" s="1321">
        <v>0</v>
      </c>
      <c r="V12" s="1320">
        <v>580</v>
      </c>
      <c r="W12" s="1319"/>
      <c r="X12" s="1318">
        <v>580</v>
      </c>
      <c r="Y12" s="1317">
        <v>7.2</v>
      </c>
      <c r="AB12" s="1307">
        <v>28</v>
      </c>
      <c r="AC12" s="1307">
        <v>45</v>
      </c>
      <c r="AD12" s="1307">
        <v>55.4</v>
      </c>
      <c r="AE12" s="1307">
        <v>10.7</v>
      </c>
      <c r="AF12" s="1307">
        <v>19</v>
      </c>
      <c r="AG12" s="1307">
        <v>40</v>
      </c>
      <c r="AH12" s="1307">
        <v>33</v>
      </c>
      <c r="AI12" s="1307">
        <v>5.5</v>
      </c>
      <c r="AJ12" s="1307">
        <v>28</v>
      </c>
      <c r="AK12" s="1307">
        <v>42</v>
      </c>
      <c r="AL12" s="1307">
        <v>53.7</v>
      </c>
      <c r="AM12" s="1307">
        <v>10</v>
      </c>
      <c r="AN12" s="1307">
        <v>16.2</v>
      </c>
      <c r="AO12" s="1307">
        <v>48</v>
      </c>
      <c r="AP12" s="1307">
        <v>30.2</v>
      </c>
      <c r="AQ12" s="1307">
        <v>5.5</v>
      </c>
      <c r="AS12" s="1305">
        <v>576.64</v>
      </c>
      <c r="AT12" s="1305">
        <v>576.64</v>
      </c>
    </row>
    <row r="13" spans="1:46" ht="13.5" customHeight="1">
      <c r="A13" s="1334">
        <v>2</v>
      </c>
      <c r="B13" s="1333">
        <v>207</v>
      </c>
      <c r="C13" s="1332" t="s">
        <v>634</v>
      </c>
      <c r="D13" s="1331">
        <v>108</v>
      </c>
      <c r="E13" s="1330">
        <v>2.7</v>
      </c>
      <c r="F13" s="1329">
        <v>291.60000000000002</v>
      </c>
      <c r="G13" s="1328"/>
      <c r="H13" s="1321">
        <v>6818</v>
      </c>
      <c r="I13" s="1320"/>
      <c r="J13" s="1318">
        <v>6818</v>
      </c>
      <c r="K13" s="1320">
        <v>1056</v>
      </c>
      <c r="L13" s="1327">
        <v>7874</v>
      </c>
      <c r="M13" s="1326"/>
      <c r="N13" s="1320">
        <v>2561</v>
      </c>
      <c r="O13" s="1320"/>
      <c r="P13" s="1318">
        <v>2561</v>
      </c>
      <c r="Q13" s="1325">
        <v>0</v>
      </c>
      <c r="R13" s="1324">
        <v>2561</v>
      </c>
      <c r="S13" s="1323">
        <v>12.36</v>
      </c>
      <c r="T13" s="1322">
        <v>4.2100000000000009</v>
      </c>
      <c r="U13" s="1321">
        <v>480</v>
      </c>
      <c r="V13" s="1320">
        <v>1650</v>
      </c>
      <c r="W13" s="1319"/>
      <c r="X13" s="1318">
        <v>1650</v>
      </c>
      <c r="Y13" s="1317">
        <v>5.7</v>
      </c>
      <c r="AB13" s="1307">
        <v>28</v>
      </c>
      <c r="AC13" s="1307">
        <v>45</v>
      </c>
      <c r="AD13" s="1307">
        <v>55.4</v>
      </c>
      <c r="AE13" s="1307">
        <v>10.7</v>
      </c>
      <c r="AF13" s="1307">
        <v>19</v>
      </c>
      <c r="AG13" s="1307">
        <v>40</v>
      </c>
      <c r="AH13" s="1307">
        <v>33</v>
      </c>
      <c r="AI13" s="1307">
        <v>5.5</v>
      </c>
      <c r="AJ13" s="1307">
        <v>28</v>
      </c>
      <c r="AK13" s="1307">
        <v>45</v>
      </c>
      <c r="AL13" s="1307">
        <v>55.7</v>
      </c>
      <c r="AM13" s="1307">
        <v>10.8</v>
      </c>
      <c r="AN13" s="1307">
        <v>18.600000000000001</v>
      </c>
      <c r="AO13" s="1307">
        <v>41</v>
      </c>
      <c r="AP13" s="1307">
        <v>32.6</v>
      </c>
      <c r="AQ13" s="1307">
        <v>5.5</v>
      </c>
      <c r="AS13" s="1305">
        <v>1644.98</v>
      </c>
      <c r="AT13" s="1305">
        <v>1644.98</v>
      </c>
    </row>
    <row r="14" spans="1:46" ht="13.5" customHeight="1">
      <c r="A14" s="1334">
        <v>2</v>
      </c>
      <c r="B14" s="1333">
        <v>208</v>
      </c>
      <c r="C14" s="1332" t="s">
        <v>649</v>
      </c>
      <c r="D14" s="1331">
        <v>108</v>
      </c>
      <c r="E14" s="1330">
        <v>2.7</v>
      </c>
      <c r="F14" s="1329">
        <v>291.60000000000002</v>
      </c>
      <c r="G14" s="1328"/>
      <c r="H14" s="1321">
        <v>6757</v>
      </c>
      <c r="I14" s="1320"/>
      <c r="J14" s="1318">
        <v>6757</v>
      </c>
      <c r="K14" s="1320">
        <v>1056</v>
      </c>
      <c r="L14" s="1327">
        <v>7813</v>
      </c>
      <c r="M14" s="1326"/>
      <c r="N14" s="1320">
        <v>1964</v>
      </c>
      <c r="O14" s="1320"/>
      <c r="P14" s="1318">
        <v>1964</v>
      </c>
      <c r="Q14" s="1325">
        <v>0</v>
      </c>
      <c r="R14" s="1324">
        <v>1964</v>
      </c>
      <c r="S14" s="1323">
        <v>12.36</v>
      </c>
      <c r="T14" s="1322">
        <v>4.2100000000000009</v>
      </c>
      <c r="U14" s="1321">
        <v>480</v>
      </c>
      <c r="V14" s="1320">
        <v>1630</v>
      </c>
      <c r="W14" s="1319"/>
      <c r="X14" s="1318">
        <v>1630</v>
      </c>
      <c r="Y14" s="1317">
        <v>5.6</v>
      </c>
      <c r="AB14" s="1307">
        <v>28</v>
      </c>
      <c r="AC14" s="1307">
        <v>45</v>
      </c>
      <c r="AD14" s="1307">
        <v>55.4</v>
      </c>
      <c r="AE14" s="1307">
        <v>10.7</v>
      </c>
      <c r="AF14" s="1307">
        <v>19</v>
      </c>
      <c r="AG14" s="1307">
        <v>40</v>
      </c>
      <c r="AH14" s="1307">
        <v>33</v>
      </c>
      <c r="AI14" s="1307">
        <v>5.5</v>
      </c>
      <c r="AJ14" s="1307">
        <v>28</v>
      </c>
      <c r="AK14" s="1307">
        <v>45</v>
      </c>
      <c r="AL14" s="1307">
        <v>55.7</v>
      </c>
      <c r="AM14" s="1307">
        <v>10.8</v>
      </c>
      <c r="AN14" s="1307">
        <v>19.600000000000001</v>
      </c>
      <c r="AO14" s="1307">
        <v>39</v>
      </c>
      <c r="AP14" s="1307">
        <v>33.6</v>
      </c>
      <c r="AQ14" s="1307">
        <v>5.5</v>
      </c>
      <c r="AS14" s="1305">
        <v>1630.27</v>
      </c>
      <c r="AT14" s="1305">
        <v>1630.27</v>
      </c>
    </row>
    <row r="15" spans="1:46" ht="13.5" customHeight="1">
      <c r="A15" s="1334">
        <v>2</v>
      </c>
      <c r="B15" s="1333">
        <v>209</v>
      </c>
      <c r="C15" s="1332" t="s">
        <v>665</v>
      </c>
      <c r="D15" s="1331">
        <v>35.25</v>
      </c>
      <c r="E15" s="1330">
        <v>2.7</v>
      </c>
      <c r="F15" s="1329">
        <v>95.2</v>
      </c>
      <c r="G15" s="1328"/>
      <c r="H15" s="1321">
        <v>2695</v>
      </c>
      <c r="I15" s="1320"/>
      <c r="J15" s="1318">
        <v>2695</v>
      </c>
      <c r="K15" s="1320">
        <v>1116</v>
      </c>
      <c r="L15" s="1327">
        <v>3811</v>
      </c>
      <c r="M15" s="1326"/>
      <c r="N15" s="1320">
        <v>652</v>
      </c>
      <c r="O15" s="1320"/>
      <c r="P15" s="1318">
        <v>652</v>
      </c>
      <c r="Q15" s="1325">
        <v>0</v>
      </c>
      <c r="R15" s="1324">
        <v>652</v>
      </c>
      <c r="S15" s="1323">
        <v>12.36</v>
      </c>
      <c r="T15" s="1322">
        <v>4.2100000000000009</v>
      </c>
      <c r="U15" s="1321">
        <v>540</v>
      </c>
      <c r="V15" s="1320">
        <v>650</v>
      </c>
      <c r="W15" s="1319"/>
      <c r="X15" s="1318">
        <v>650</v>
      </c>
      <c r="Y15" s="1317">
        <v>6.8</v>
      </c>
      <c r="AB15" s="1307">
        <v>28</v>
      </c>
      <c r="AC15" s="1307">
        <v>45</v>
      </c>
      <c r="AD15" s="1307">
        <v>55.4</v>
      </c>
      <c r="AE15" s="1307">
        <v>10.7</v>
      </c>
      <c r="AF15" s="1307">
        <v>19</v>
      </c>
      <c r="AG15" s="1307">
        <v>40</v>
      </c>
      <c r="AH15" s="1307">
        <v>33</v>
      </c>
      <c r="AI15" s="1307">
        <v>5.5</v>
      </c>
      <c r="AJ15" s="1307">
        <v>28</v>
      </c>
      <c r="AK15" s="1307">
        <v>51</v>
      </c>
      <c r="AL15" s="1307">
        <v>59</v>
      </c>
      <c r="AM15" s="1307">
        <v>12.1</v>
      </c>
      <c r="AN15" s="1307">
        <v>20.2</v>
      </c>
      <c r="AO15" s="1307">
        <v>37</v>
      </c>
      <c r="AP15" s="1307">
        <v>34.200000000000003</v>
      </c>
      <c r="AQ15" s="1307">
        <v>5.5</v>
      </c>
      <c r="AS15" s="1305">
        <v>650.22</v>
      </c>
      <c r="AT15" s="1305">
        <v>650.22</v>
      </c>
    </row>
    <row r="16" spans="1:46" ht="13.5" customHeight="1">
      <c r="A16" s="1334">
        <v>2</v>
      </c>
      <c r="B16" s="1333">
        <v>210</v>
      </c>
      <c r="C16" s="1332" t="s">
        <v>682</v>
      </c>
      <c r="D16" s="1331">
        <v>21</v>
      </c>
      <c r="E16" s="1330">
        <v>2.7</v>
      </c>
      <c r="F16" s="1329">
        <v>56.7</v>
      </c>
      <c r="G16" s="1328"/>
      <c r="H16" s="1321">
        <v>940</v>
      </c>
      <c r="I16" s="1320"/>
      <c r="J16" s="1318">
        <v>940</v>
      </c>
      <c r="K16" s="1320">
        <v>198</v>
      </c>
      <c r="L16" s="1327">
        <v>1138</v>
      </c>
      <c r="M16" s="1326"/>
      <c r="N16" s="1320">
        <v>1164</v>
      </c>
      <c r="O16" s="1320"/>
      <c r="P16" s="1318">
        <v>1164</v>
      </c>
      <c r="Q16" s="1325">
        <v>0</v>
      </c>
      <c r="R16" s="1324">
        <v>1164</v>
      </c>
      <c r="S16" s="1323">
        <v>12.36</v>
      </c>
      <c r="T16" s="1322">
        <v>4.2100000000000009</v>
      </c>
      <c r="U16" s="1321">
        <v>90</v>
      </c>
      <c r="V16" s="1320">
        <v>230</v>
      </c>
      <c r="W16" s="1319"/>
      <c r="X16" s="1318">
        <v>230</v>
      </c>
      <c r="Y16" s="1317">
        <v>4.0999999999999996</v>
      </c>
      <c r="AB16" s="1307">
        <v>28</v>
      </c>
      <c r="AC16" s="1307">
        <v>45</v>
      </c>
      <c r="AD16" s="1307">
        <v>55.4</v>
      </c>
      <c r="AE16" s="1307">
        <v>10.7</v>
      </c>
      <c r="AF16" s="1307">
        <v>19</v>
      </c>
      <c r="AG16" s="1307">
        <v>40</v>
      </c>
      <c r="AH16" s="1307">
        <v>33</v>
      </c>
      <c r="AI16" s="1307">
        <v>5.5</v>
      </c>
      <c r="AJ16" s="1307">
        <v>28</v>
      </c>
      <c r="AK16" s="1307">
        <v>46</v>
      </c>
      <c r="AL16" s="1307">
        <v>56.3</v>
      </c>
      <c r="AM16" s="1307">
        <v>11</v>
      </c>
      <c r="AN16" s="1307">
        <v>13.9</v>
      </c>
      <c r="AO16" s="1307">
        <v>55</v>
      </c>
      <c r="AP16" s="1307">
        <v>27.8</v>
      </c>
      <c r="AQ16" s="1307">
        <v>5.5</v>
      </c>
      <c r="AS16" s="1305">
        <v>226.79</v>
      </c>
      <c r="AT16" s="1305">
        <v>226.79</v>
      </c>
    </row>
    <row r="17" spans="1:46" ht="13.5" customHeight="1">
      <c r="A17" s="1334">
        <v>2</v>
      </c>
      <c r="B17" s="1333">
        <v>211</v>
      </c>
      <c r="C17" s="1332" t="s">
        <v>703</v>
      </c>
      <c r="D17" s="1331">
        <v>37.35</v>
      </c>
      <c r="E17" s="1330">
        <v>2.7</v>
      </c>
      <c r="F17" s="1329">
        <v>100.9</v>
      </c>
      <c r="G17" s="1328"/>
      <c r="H17" s="1321">
        <v>3449</v>
      </c>
      <c r="I17" s="1320"/>
      <c r="J17" s="1318">
        <v>3449</v>
      </c>
      <c r="K17" s="1320">
        <v>0</v>
      </c>
      <c r="L17" s="1327">
        <v>3449</v>
      </c>
      <c r="M17" s="1326"/>
      <c r="N17" s="1320">
        <v>1419</v>
      </c>
      <c r="O17" s="1320"/>
      <c r="P17" s="1318">
        <v>1419</v>
      </c>
      <c r="Q17" s="1325">
        <v>0</v>
      </c>
      <c r="R17" s="1324">
        <v>1419</v>
      </c>
      <c r="S17" s="1323">
        <v>12.36</v>
      </c>
      <c r="T17" s="1322">
        <v>4.2100000000000009</v>
      </c>
      <c r="U17" s="1321">
        <v>0</v>
      </c>
      <c r="V17" s="1320">
        <v>840</v>
      </c>
      <c r="W17" s="1319"/>
      <c r="X17" s="1318">
        <v>840</v>
      </c>
      <c r="Y17" s="1317">
        <v>8.3000000000000007</v>
      </c>
      <c r="AB17" s="1307">
        <v>28</v>
      </c>
      <c r="AC17" s="1307">
        <v>45</v>
      </c>
      <c r="AD17" s="1307">
        <v>55.4</v>
      </c>
      <c r="AE17" s="1307">
        <v>10.7</v>
      </c>
      <c r="AF17" s="1307">
        <v>19</v>
      </c>
      <c r="AG17" s="1307">
        <v>40</v>
      </c>
      <c r="AH17" s="1307">
        <v>33</v>
      </c>
      <c r="AI17" s="1307">
        <v>5.5</v>
      </c>
      <c r="AJ17" s="1307">
        <v>28</v>
      </c>
      <c r="AK17" s="1307">
        <v>42</v>
      </c>
      <c r="AL17" s="1307">
        <v>53.7</v>
      </c>
      <c r="AM17" s="1307">
        <v>10</v>
      </c>
      <c r="AN17" s="1307">
        <v>18.2</v>
      </c>
      <c r="AO17" s="1307">
        <v>42</v>
      </c>
      <c r="AP17" s="1307">
        <v>32.1</v>
      </c>
      <c r="AQ17" s="1307">
        <v>5.5</v>
      </c>
      <c r="AS17" s="1305">
        <v>832.14</v>
      </c>
      <c r="AT17" s="1305">
        <v>832.14</v>
      </c>
    </row>
    <row r="18" spans="1:46" ht="13.5" customHeight="1">
      <c r="A18" s="1334"/>
      <c r="B18" s="1333"/>
      <c r="C18" s="1332"/>
      <c r="D18" s="1331"/>
      <c r="E18" s="1330"/>
      <c r="F18" s="1329"/>
      <c r="G18" s="1328"/>
      <c r="H18" s="1321"/>
      <c r="I18" s="1320"/>
      <c r="J18" s="1318"/>
      <c r="K18" s="1320"/>
      <c r="L18" s="1327"/>
      <c r="M18" s="1326"/>
      <c r="N18" s="1320"/>
      <c r="O18" s="1320"/>
      <c r="P18" s="1318"/>
      <c r="Q18" s="1325"/>
      <c r="R18" s="1324"/>
      <c r="S18" s="1323"/>
      <c r="T18" s="1322"/>
      <c r="U18" s="1321"/>
      <c r="V18" s="1320"/>
      <c r="W18" s="1319"/>
      <c r="X18" s="1318"/>
      <c r="Y18" s="1317"/>
    </row>
    <row r="19" spans="1:46" ht="13.5" customHeight="1">
      <c r="A19" s="1334"/>
      <c r="B19" s="1333"/>
      <c r="C19" s="1332"/>
      <c r="D19" s="1331"/>
      <c r="E19" s="1330"/>
      <c r="F19" s="1329"/>
      <c r="G19" s="1328"/>
      <c r="H19" s="1321"/>
      <c r="I19" s="1320"/>
      <c r="J19" s="1318"/>
      <c r="K19" s="1320"/>
      <c r="L19" s="1327"/>
      <c r="M19" s="1326"/>
      <c r="N19" s="1320"/>
      <c r="O19" s="1320"/>
      <c r="P19" s="1318"/>
      <c r="Q19" s="1325"/>
      <c r="R19" s="1324"/>
      <c r="S19" s="1323"/>
      <c r="T19" s="1322"/>
      <c r="U19" s="1321"/>
      <c r="V19" s="1320"/>
      <c r="W19" s="1319"/>
      <c r="X19" s="1318"/>
      <c r="Y19" s="1317"/>
    </row>
    <row r="20" spans="1:46" ht="13.5" customHeight="1">
      <c r="A20" s="1334"/>
      <c r="B20" s="1333"/>
      <c r="C20" s="1332"/>
      <c r="D20" s="1331"/>
      <c r="E20" s="1330"/>
      <c r="F20" s="1329"/>
      <c r="G20" s="1328"/>
      <c r="H20" s="1321"/>
      <c r="I20" s="1320"/>
      <c r="J20" s="1318"/>
      <c r="K20" s="1320"/>
      <c r="L20" s="1327"/>
      <c r="M20" s="1326"/>
      <c r="N20" s="1320"/>
      <c r="O20" s="1320"/>
      <c r="P20" s="1318"/>
      <c r="Q20" s="1325"/>
      <c r="R20" s="1324"/>
      <c r="S20" s="1323"/>
      <c r="T20" s="1322"/>
      <c r="U20" s="1321"/>
      <c r="V20" s="1320"/>
      <c r="W20" s="1319"/>
      <c r="X20" s="1318"/>
      <c r="Y20" s="1317"/>
    </row>
    <row r="21" spans="1:46" ht="13.5" customHeight="1">
      <c r="A21" s="1334"/>
      <c r="B21" s="1333"/>
      <c r="C21" s="1332"/>
      <c r="D21" s="1331"/>
      <c r="E21" s="1330"/>
      <c r="F21" s="1329"/>
      <c r="G21" s="1328"/>
      <c r="H21" s="1321"/>
      <c r="I21" s="1320"/>
      <c r="J21" s="1318"/>
      <c r="K21" s="1320"/>
      <c r="L21" s="1327"/>
      <c r="M21" s="1326"/>
      <c r="N21" s="1320"/>
      <c r="O21" s="1320"/>
      <c r="P21" s="1318"/>
      <c r="Q21" s="1325"/>
      <c r="R21" s="1324"/>
      <c r="S21" s="1323"/>
      <c r="T21" s="1322"/>
      <c r="U21" s="1321"/>
      <c r="V21" s="1320"/>
      <c r="W21" s="1319"/>
      <c r="X21" s="1318"/>
      <c r="Y21" s="1317"/>
    </row>
    <row r="22" spans="1:46" ht="13.5" customHeight="1">
      <c r="A22" s="1334"/>
      <c r="B22" s="1333"/>
      <c r="C22" s="1332"/>
      <c r="D22" s="1331"/>
      <c r="E22" s="1330"/>
      <c r="F22" s="1329"/>
      <c r="G22" s="1328"/>
      <c r="H22" s="1321"/>
      <c r="I22" s="1320"/>
      <c r="J22" s="1318"/>
      <c r="K22" s="1320"/>
      <c r="L22" s="1327"/>
      <c r="M22" s="1326"/>
      <c r="N22" s="1320"/>
      <c r="O22" s="1320"/>
      <c r="P22" s="1318"/>
      <c r="Q22" s="1325"/>
      <c r="R22" s="1324"/>
      <c r="S22" s="1323"/>
      <c r="T22" s="1322"/>
      <c r="U22" s="1321"/>
      <c r="V22" s="1320"/>
      <c r="W22" s="1319"/>
      <c r="X22" s="1318"/>
      <c r="Y22" s="1317"/>
    </row>
    <row r="23" spans="1:46" ht="13.5" customHeight="1">
      <c r="A23" s="1334"/>
      <c r="B23" s="1333"/>
      <c r="C23" s="1332"/>
      <c r="D23" s="1331"/>
      <c r="E23" s="1330"/>
      <c r="F23" s="1329"/>
      <c r="G23" s="1328"/>
      <c r="H23" s="1321"/>
      <c r="I23" s="1320"/>
      <c r="J23" s="1318"/>
      <c r="K23" s="1320"/>
      <c r="L23" s="1327"/>
      <c r="M23" s="1326"/>
      <c r="N23" s="1320"/>
      <c r="O23" s="1320"/>
      <c r="P23" s="1318"/>
      <c r="Q23" s="1325"/>
      <c r="R23" s="1324"/>
      <c r="S23" s="1323"/>
      <c r="T23" s="1322"/>
      <c r="U23" s="1321"/>
      <c r="V23" s="1320"/>
      <c r="W23" s="1319"/>
      <c r="X23" s="1318"/>
      <c r="Y23" s="1317"/>
    </row>
    <row r="24" spans="1:46" ht="13.5" customHeight="1">
      <c r="A24" s="1334"/>
      <c r="B24" s="1333"/>
      <c r="C24" s="1332"/>
      <c r="D24" s="1331"/>
      <c r="E24" s="1330"/>
      <c r="F24" s="1329"/>
      <c r="G24" s="1328"/>
      <c r="H24" s="1321"/>
      <c r="I24" s="1320"/>
      <c r="J24" s="1318"/>
      <c r="K24" s="1320"/>
      <c r="L24" s="1327"/>
      <c r="M24" s="1326"/>
      <c r="N24" s="1320"/>
      <c r="O24" s="1320"/>
      <c r="P24" s="1318"/>
      <c r="Q24" s="1325"/>
      <c r="R24" s="1324"/>
      <c r="S24" s="1323"/>
      <c r="T24" s="1322"/>
      <c r="U24" s="1321"/>
      <c r="V24" s="1320"/>
      <c r="W24" s="1319"/>
      <c r="X24" s="1318"/>
      <c r="Y24" s="1317"/>
    </row>
    <row r="25" spans="1:46" ht="13.5" customHeight="1">
      <c r="A25" s="1334"/>
      <c r="B25" s="1333"/>
      <c r="C25" s="1332"/>
      <c r="D25" s="1331"/>
      <c r="E25" s="1330"/>
      <c r="F25" s="1329"/>
      <c r="G25" s="1328"/>
      <c r="H25" s="1321"/>
      <c r="I25" s="1320"/>
      <c r="J25" s="1318"/>
      <c r="K25" s="1320"/>
      <c r="L25" s="1327"/>
      <c r="M25" s="1326"/>
      <c r="N25" s="1320"/>
      <c r="O25" s="1320"/>
      <c r="P25" s="1318"/>
      <c r="Q25" s="1325"/>
      <c r="R25" s="1324"/>
      <c r="S25" s="1323"/>
      <c r="T25" s="1322"/>
      <c r="U25" s="1321"/>
      <c r="V25" s="1320"/>
      <c r="W25" s="1319"/>
      <c r="X25" s="1318"/>
      <c r="Y25" s="1317"/>
    </row>
    <row r="26" spans="1:46" ht="13.5" customHeight="1">
      <c r="A26" s="1334"/>
      <c r="B26" s="1333"/>
      <c r="C26" s="1332"/>
      <c r="D26" s="1331"/>
      <c r="E26" s="1330"/>
      <c r="F26" s="1329"/>
      <c r="G26" s="1328"/>
      <c r="H26" s="1321"/>
      <c r="I26" s="1320"/>
      <c r="J26" s="1318"/>
      <c r="K26" s="1320"/>
      <c r="L26" s="1327"/>
      <c r="M26" s="1326"/>
      <c r="N26" s="1320"/>
      <c r="O26" s="1320"/>
      <c r="P26" s="1318"/>
      <c r="Q26" s="1325"/>
      <c r="R26" s="1324"/>
      <c r="S26" s="1323"/>
      <c r="T26" s="1322"/>
      <c r="U26" s="1321"/>
      <c r="V26" s="1320"/>
      <c r="W26" s="1319"/>
      <c r="X26" s="1318"/>
      <c r="Y26" s="1317"/>
    </row>
    <row r="27" spans="1:46" ht="13.5" customHeight="1">
      <c r="A27" s="1334"/>
      <c r="B27" s="1333"/>
      <c r="C27" s="1332"/>
      <c r="D27" s="1331"/>
      <c r="E27" s="1330"/>
      <c r="F27" s="1329"/>
      <c r="G27" s="1328"/>
      <c r="H27" s="1321"/>
      <c r="I27" s="1320"/>
      <c r="J27" s="1318"/>
      <c r="K27" s="1320"/>
      <c r="L27" s="1327"/>
      <c r="M27" s="1326"/>
      <c r="N27" s="1320"/>
      <c r="O27" s="1320"/>
      <c r="P27" s="1318"/>
      <c r="Q27" s="1325"/>
      <c r="R27" s="1324"/>
      <c r="S27" s="1323"/>
      <c r="T27" s="1322"/>
      <c r="U27" s="1321"/>
      <c r="V27" s="1320"/>
      <c r="W27" s="1319"/>
      <c r="X27" s="1318"/>
      <c r="Y27" s="1317"/>
    </row>
    <row r="28" spans="1:46" ht="13.5" customHeight="1">
      <c r="A28" s="1334"/>
      <c r="B28" s="1333"/>
      <c r="C28" s="1332"/>
      <c r="D28" s="1331"/>
      <c r="E28" s="1330"/>
      <c r="F28" s="1329"/>
      <c r="G28" s="1328"/>
      <c r="H28" s="1321"/>
      <c r="I28" s="1320"/>
      <c r="J28" s="1318"/>
      <c r="K28" s="1320"/>
      <c r="L28" s="1327"/>
      <c r="M28" s="1326"/>
      <c r="N28" s="1320"/>
      <c r="O28" s="1320"/>
      <c r="P28" s="1318"/>
      <c r="Q28" s="1325"/>
      <c r="R28" s="1324"/>
      <c r="S28" s="1323"/>
      <c r="T28" s="1322"/>
      <c r="U28" s="1321"/>
      <c r="V28" s="1320"/>
      <c r="W28" s="1319"/>
      <c r="X28" s="1318"/>
      <c r="Y28" s="1317"/>
    </row>
    <row r="29" spans="1:46" ht="13.5" customHeight="1">
      <c r="A29" s="1334"/>
      <c r="B29" s="1333"/>
      <c r="C29" s="1332"/>
      <c r="D29" s="1331"/>
      <c r="E29" s="1330"/>
      <c r="F29" s="1329"/>
      <c r="G29" s="1328"/>
      <c r="H29" s="1321"/>
      <c r="I29" s="1320"/>
      <c r="J29" s="1318"/>
      <c r="K29" s="1320"/>
      <c r="L29" s="1327"/>
      <c r="M29" s="1326"/>
      <c r="N29" s="1320"/>
      <c r="O29" s="1320"/>
      <c r="P29" s="1318"/>
      <c r="Q29" s="1325"/>
      <c r="R29" s="1324"/>
      <c r="S29" s="1323"/>
      <c r="T29" s="1322"/>
      <c r="U29" s="1321"/>
      <c r="V29" s="1320"/>
      <c r="W29" s="1319"/>
      <c r="X29" s="1318"/>
      <c r="Y29" s="1317"/>
    </row>
    <row r="30" spans="1:46" ht="13.5" customHeight="1">
      <c r="A30" s="1334"/>
      <c r="B30" s="1333"/>
      <c r="C30" s="1332"/>
      <c r="D30" s="1331"/>
      <c r="E30" s="1330"/>
      <c r="F30" s="1329"/>
      <c r="G30" s="1328"/>
      <c r="H30" s="1321"/>
      <c r="I30" s="1320"/>
      <c r="J30" s="1318"/>
      <c r="K30" s="1320"/>
      <c r="L30" s="1327"/>
      <c r="M30" s="1326"/>
      <c r="N30" s="1320"/>
      <c r="O30" s="1320"/>
      <c r="P30" s="1318"/>
      <c r="Q30" s="1325"/>
      <c r="R30" s="1324"/>
      <c r="S30" s="1323"/>
      <c r="T30" s="1322"/>
      <c r="U30" s="1321"/>
      <c r="V30" s="1320"/>
      <c r="W30" s="1319"/>
      <c r="X30" s="1318"/>
      <c r="Y30" s="1317"/>
    </row>
    <row r="31" spans="1:46" ht="13.5" customHeight="1">
      <c r="A31" s="1334"/>
      <c r="B31" s="1333"/>
      <c r="C31" s="1332"/>
      <c r="D31" s="1331"/>
      <c r="E31" s="1330"/>
      <c r="F31" s="1329"/>
      <c r="G31" s="1328"/>
      <c r="H31" s="1321"/>
      <c r="I31" s="1320"/>
      <c r="J31" s="1318"/>
      <c r="K31" s="1320"/>
      <c r="L31" s="1327"/>
      <c r="M31" s="1326"/>
      <c r="N31" s="1320"/>
      <c r="O31" s="1320"/>
      <c r="P31" s="1318"/>
      <c r="Q31" s="1325"/>
      <c r="R31" s="1324"/>
      <c r="S31" s="1323"/>
      <c r="T31" s="1322"/>
      <c r="U31" s="1321"/>
      <c r="V31" s="1320"/>
      <c r="W31" s="1319"/>
      <c r="X31" s="1318"/>
      <c r="Y31" s="1317"/>
    </row>
    <row r="32" spans="1:46" ht="13.5" customHeight="1">
      <c r="A32" s="1334"/>
      <c r="B32" s="1333"/>
      <c r="C32" s="1332"/>
      <c r="D32" s="1331"/>
      <c r="E32" s="1330"/>
      <c r="F32" s="1329"/>
      <c r="G32" s="1328"/>
      <c r="H32" s="1321"/>
      <c r="I32" s="1320"/>
      <c r="J32" s="1318"/>
      <c r="K32" s="1320"/>
      <c r="L32" s="1327"/>
      <c r="M32" s="1326"/>
      <c r="N32" s="1320"/>
      <c r="O32" s="1320"/>
      <c r="P32" s="1318"/>
      <c r="Q32" s="1325"/>
      <c r="R32" s="1324"/>
      <c r="S32" s="1323"/>
      <c r="T32" s="1322"/>
      <c r="U32" s="1321"/>
      <c r="V32" s="1320"/>
      <c r="W32" s="1319"/>
      <c r="X32" s="1318"/>
      <c r="Y32" s="1317"/>
    </row>
    <row r="33" spans="1:25" ht="13.5" customHeight="1">
      <c r="A33" s="1334"/>
      <c r="B33" s="1333"/>
      <c r="C33" s="1332"/>
      <c r="D33" s="1331"/>
      <c r="E33" s="1330"/>
      <c r="F33" s="1329"/>
      <c r="G33" s="1328"/>
      <c r="H33" s="1321"/>
      <c r="I33" s="1320"/>
      <c r="J33" s="1318"/>
      <c r="K33" s="1320"/>
      <c r="L33" s="1327"/>
      <c r="M33" s="1326"/>
      <c r="N33" s="1320"/>
      <c r="O33" s="1320"/>
      <c r="P33" s="1318"/>
      <c r="Q33" s="1325"/>
      <c r="R33" s="1324"/>
      <c r="S33" s="1323"/>
      <c r="T33" s="1322"/>
      <c r="U33" s="1321"/>
      <c r="V33" s="1320"/>
      <c r="W33" s="1319"/>
      <c r="X33" s="1318"/>
      <c r="Y33" s="1317"/>
    </row>
    <row r="34" spans="1:25" ht="13.5" customHeight="1">
      <c r="A34" s="1334"/>
      <c r="B34" s="1333"/>
      <c r="C34" s="1332"/>
      <c r="D34" s="1331"/>
      <c r="E34" s="1330"/>
      <c r="F34" s="1329"/>
      <c r="G34" s="1328"/>
      <c r="H34" s="1321"/>
      <c r="I34" s="1320"/>
      <c r="J34" s="1318"/>
      <c r="K34" s="1320"/>
      <c r="L34" s="1327"/>
      <c r="M34" s="1326"/>
      <c r="N34" s="1320"/>
      <c r="O34" s="1320"/>
      <c r="P34" s="1318"/>
      <c r="Q34" s="1325"/>
      <c r="R34" s="1324"/>
      <c r="S34" s="1323"/>
      <c r="T34" s="1322"/>
      <c r="U34" s="1321"/>
      <c r="V34" s="1320"/>
      <c r="W34" s="1319"/>
      <c r="X34" s="1318"/>
      <c r="Y34" s="1317"/>
    </row>
    <row r="35" spans="1:25" ht="13.5" customHeight="1">
      <c r="A35" s="1334"/>
      <c r="B35" s="1333"/>
      <c r="C35" s="1332"/>
      <c r="D35" s="1331"/>
      <c r="E35" s="1330"/>
      <c r="F35" s="1329"/>
      <c r="G35" s="1328"/>
      <c r="H35" s="1321"/>
      <c r="I35" s="1320"/>
      <c r="J35" s="1318"/>
      <c r="K35" s="1320"/>
      <c r="L35" s="1327"/>
      <c r="M35" s="1326"/>
      <c r="N35" s="1320"/>
      <c r="O35" s="1320"/>
      <c r="P35" s="1318"/>
      <c r="Q35" s="1325"/>
      <c r="R35" s="1324"/>
      <c r="S35" s="1323"/>
      <c r="T35" s="1322"/>
      <c r="U35" s="1321"/>
      <c r="V35" s="1320"/>
      <c r="W35" s="1319"/>
      <c r="X35" s="1318"/>
      <c r="Y35" s="1317"/>
    </row>
    <row r="36" spans="1:25" ht="13.5" customHeight="1" thickBot="1">
      <c r="A36" s="1437"/>
      <c r="B36" s="1438"/>
      <c r="C36" s="1439"/>
      <c r="D36" s="1440"/>
      <c r="E36" s="1441"/>
      <c r="F36" s="1442"/>
      <c r="G36" s="1443"/>
      <c r="H36" s="1444"/>
      <c r="I36" s="1445"/>
      <c r="J36" s="1446"/>
      <c r="K36" s="1445"/>
      <c r="L36" s="1447"/>
      <c r="M36" s="1448"/>
      <c r="N36" s="1445"/>
      <c r="O36" s="1445"/>
      <c r="P36" s="1446"/>
      <c r="Q36" s="1449"/>
      <c r="R36" s="1450"/>
      <c r="S36" s="1451"/>
      <c r="T36" s="1452"/>
      <c r="U36" s="1444"/>
      <c r="V36" s="1445"/>
      <c r="W36" s="1453"/>
      <c r="X36" s="1446"/>
      <c r="Y36" s="1454"/>
    </row>
    <row r="37" spans="1:25" ht="18.95" customHeight="1" thickTop="1">
      <c r="A37" s="1463" t="s">
        <v>750</v>
      </c>
      <c r="B37" s="1464"/>
      <c r="C37" s="1465"/>
      <c r="D37" s="1455">
        <v>632.18000000000006</v>
      </c>
      <c r="E37" s="1456"/>
      <c r="F37" s="1456">
        <v>1707.2000000000003</v>
      </c>
      <c r="G37" s="1457"/>
      <c r="H37" s="1458">
        <v>45228</v>
      </c>
      <c r="I37" s="1459">
        <v>0</v>
      </c>
      <c r="J37" s="1459">
        <v>45228</v>
      </c>
      <c r="K37" s="1459">
        <v>6000</v>
      </c>
      <c r="L37" s="1459">
        <v>51228</v>
      </c>
      <c r="M37" s="1458">
        <v>0</v>
      </c>
      <c r="N37" s="1458">
        <v>15450</v>
      </c>
      <c r="O37" s="1459">
        <v>0</v>
      </c>
      <c r="P37" s="1459">
        <v>15450</v>
      </c>
      <c r="Q37" s="1459">
        <v>0</v>
      </c>
      <c r="R37" s="1459">
        <v>15450</v>
      </c>
      <c r="S37" s="1460"/>
      <c r="T37" s="1461"/>
      <c r="U37" s="1458">
        <v>2760</v>
      </c>
      <c r="V37" s="1459">
        <v>10950</v>
      </c>
      <c r="W37" s="1459">
        <v>0</v>
      </c>
      <c r="X37" s="1459">
        <v>10950</v>
      </c>
      <c r="Y37" s="1462"/>
    </row>
    <row r="56" spans="3:46" s="1308" customFormat="1" ht="13.5" customHeight="1">
      <c r="C56" s="1315"/>
      <c r="D56" s="1315"/>
      <c r="E56" s="1315"/>
      <c r="F56" s="1315"/>
      <c r="G56" s="1315"/>
      <c r="H56" s="1315"/>
      <c r="J56" s="1312"/>
      <c r="P56" s="1312"/>
      <c r="AB56" s="1311"/>
      <c r="AC56" s="1311"/>
      <c r="AD56" s="1311"/>
      <c r="AE56" s="1311"/>
      <c r="AF56" s="1311"/>
      <c r="AG56" s="1311"/>
      <c r="AH56" s="1311"/>
      <c r="AI56" s="1311"/>
      <c r="AJ56" s="1311"/>
      <c r="AK56" s="1311"/>
      <c r="AL56" s="1311"/>
      <c r="AM56" s="1311"/>
      <c r="AN56" s="1311"/>
      <c r="AO56" s="1311"/>
      <c r="AP56" s="1311"/>
      <c r="AQ56" s="1311"/>
      <c r="AR56" s="1310"/>
      <c r="AS56" s="1309"/>
      <c r="AT56" s="1309"/>
    </row>
    <row r="57" spans="3:46" s="1308" customFormat="1" ht="13.5" customHeight="1">
      <c r="C57" s="1315"/>
      <c r="D57" s="1315"/>
      <c r="E57" s="1315"/>
      <c r="F57" s="1315"/>
      <c r="G57" s="1315"/>
      <c r="H57" s="1315"/>
      <c r="I57" s="1316"/>
      <c r="J57" s="1312"/>
      <c r="O57" s="1316"/>
      <c r="P57" s="1312"/>
      <c r="AB57" s="1311"/>
      <c r="AC57" s="1311"/>
      <c r="AD57" s="1311"/>
      <c r="AE57" s="1311"/>
      <c r="AF57" s="1311"/>
      <c r="AG57" s="1311"/>
      <c r="AH57" s="1311"/>
      <c r="AI57" s="1311"/>
      <c r="AJ57" s="1311"/>
      <c r="AK57" s="1311"/>
      <c r="AL57" s="1311"/>
      <c r="AM57" s="1311"/>
      <c r="AN57" s="1311"/>
      <c r="AO57" s="1311"/>
      <c r="AP57" s="1311"/>
      <c r="AQ57" s="1311"/>
      <c r="AR57" s="1310"/>
      <c r="AS57" s="1309"/>
      <c r="AT57" s="1309"/>
    </row>
    <row r="58" spans="3:46" s="1308" customFormat="1" ht="13.5" customHeight="1">
      <c r="C58" s="1315"/>
      <c r="D58" s="1315"/>
      <c r="E58" s="1315"/>
      <c r="F58" s="1315"/>
      <c r="G58" s="1315"/>
      <c r="H58" s="1315"/>
      <c r="I58" s="1314"/>
      <c r="J58" s="1312"/>
      <c r="O58" s="1314"/>
      <c r="P58" s="1312"/>
      <c r="AB58" s="1311"/>
      <c r="AC58" s="1311"/>
      <c r="AD58" s="1311"/>
      <c r="AE58" s="1311"/>
      <c r="AF58" s="1311"/>
      <c r="AG58" s="1311"/>
      <c r="AH58" s="1311"/>
      <c r="AI58" s="1311"/>
      <c r="AJ58" s="1311"/>
      <c r="AK58" s="1311"/>
      <c r="AL58" s="1311"/>
      <c r="AM58" s="1311"/>
      <c r="AN58" s="1311"/>
      <c r="AO58" s="1311"/>
      <c r="AP58" s="1311"/>
      <c r="AQ58" s="1311"/>
      <c r="AR58" s="1310"/>
      <c r="AS58" s="1309"/>
      <c r="AT58" s="1309"/>
    </row>
    <row r="59" spans="3:46" s="1308" customFormat="1" ht="13.5" customHeight="1">
      <c r="C59" s="1313"/>
      <c r="D59" s="1313"/>
      <c r="E59" s="1313"/>
      <c r="F59" s="1313"/>
      <c r="G59" s="1313"/>
      <c r="H59" s="1313"/>
      <c r="I59" s="1312"/>
      <c r="O59" s="1312"/>
      <c r="AB59" s="1311"/>
      <c r="AC59" s="1311"/>
      <c r="AD59" s="1311"/>
      <c r="AE59" s="1311"/>
      <c r="AF59" s="1311"/>
      <c r="AG59" s="1311"/>
      <c r="AH59" s="1311"/>
      <c r="AI59" s="1311"/>
      <c r="AJ59" s="1311"/>
      <c r="AK59" s="1311"/>
      <c r="AL59" s="1311"/>
      <c r="AM59" s="1311"/>
      <c r="AN59" s="1311"/>
      <c r="AO59" s="1311"/>
      <c r="AP59" s="1311"/>
      <c r="AQ59" s="1311"/>
      <c r="AR59" s="1310"/>
      <c r="AS59" s="1309"/>
      <c r="AT59" s="1309"/>
    </row>
  </sheetData>
  <mergeCells count="33">
    <mergeCell ref="A37:C37"/>
    <mergeCell ref="H5:H6"/>
    <mergeCell ref="N5:N6"/>
    <mergeCell ref="AB2:AI3"/>
    <mergeCell ref="AJ2:AQ3"/>
    <mergeCell ref="AS2:AT4"/>
    <mergeCell ref="A4:A6"/>
    <mergeCell ref="B4:B6"/>
    <mergeCell ref="C4:C6"/>
    <mergeCell ref="D4:D6"/>
    <mergeCell ref="E4:E6"/>
    <mergeCell ref="F4:F6"/>
    <mergeCell ref="G4:G6"/>
    <mergeCell ref="H4:L4"/>
    <mergeCell ref="M4:M6"/>
    <mergeCell ref="N4:R4"/>
    <mergeCell ref="S4:T5"/>
    <mergeCell ref="U4:X4"/>
    <mergeCell ref="Y4:Y6"/>
    <mergeCell ref="U5:U6"/>
    <mergeCell ref="V5:V6"/>
    <mergeCell ref="W5:W6"/>
    <mergeCell ref="X5:X6"/>
    <mergeCell ref="K5:K6"/>
    <mergeCell ref="L5:L6"/>
    <mergeCell ref="Q5:Q6"/>
    <mergeCell ref="R5:R6"/>
    <mergeCell ref="AS5:AS6"/>
    <mergeCell ref="AT5:AT6"/>
    <mergeCell ref="AB4:AE4"/>
    <mergeCell ref="AF4:AI4"/>
    <mergeCell ref="AJ4:AM4"/>
    <mergeCell ref="AN4:AQ4"/>
  </mergeCells>
  <phoneticPr fontId="3"/>
  <printOptions horizontalCentered="1"/>
  <pageMargins left="0.39370078740157483" right="0.39370078740157483" top="0.70866141732283472" bottom="0.47244094488188981" header="0.31496062992125984" footer="0.31496062992125984"/>
  <pageSetup paperSize="9" scale="75" orientation="landscape" horizontalDpi="1200" verticalDpi="1200" r:id="rId1"/>
  <headerFooter scaleWithDoc="0">
    <oddFooter>&amp;C&amp;"ＭＳ Ｐゴシック,標準"&amp;9( &amp;P / &amp;N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11111221263">
    <pageSetUpPr fitToPage="1"/>
  </sheetPr>
  <dimension ref="A1:AH32"/>
  <sheetViews>
    <sheetView showGridLines="0" zoomScaleNormal="100" workbookViewId="0">
      <selection sqref="A1:E1"/>
    </sheetView>
  </sheetViews>
  <sheetFormatPr defaultColWidth="11.7109375" defaultRowHeight="18" customHeight="1"/>
  <cols>
    <col min="1" max="12" width="9.140625" style="1480" customWidth="1"/>
    <col min="13" max="13" width="2.5703125" style="1480" customWidth="1"/>
    <col min="14" max="16" width="9.140625" style="1480" customWidth="1"/>
    <col min="17" max="18" width="3.7109375" style="1480" customWidth="1"/>
    <col min="19" max="25" width="9.140625" style="1480" customWidth="1"/>
    <col min="26" max="27" width="3.7109375" style="1480" customWidth="1"/>
    <col min="28" max="34" width="9.140625" style="1480" customWidth="1"/>
    <col min="35" max="35" width="3.7109375" style="1480" customWidth="1"/>
    <col min="36" max="16384" width="11.7109375" style="1480"/>
  </cols>
  <sheetData>
    <row r="1" spans="1:34" s="1510" customFormat="1" ht="18" customHeight="1">
      <c r="A1" s="1517" t="s">
        <v>872</v>
      </c>
      <c r="B1" s="1512"/>
      <c r="C1" s="1512"/>
      <c r="D1" s="1512"/>
      <c r="E1" s="1512"/>
      <c r="F1" s="1512"/>
      <c r="G1" s="1512"/>
      <c r="H1" s="1512"/>
      <c r="I1" s="1512"/>
      <c r="J1" s="1512"/>
      <c r="K1" s="1512"/>
      <c r="L1" s="1512"/>
      <c r="M1" s="1512"/>
      <c r="N1" s="1516"/>
      <c r="O1" s="1516"/>
      <c r="P1" s="1515"/>
      <c r="R1" s="1514" t="s">
        <v>892</v>
      </c>
      <c r="S1" s="1513"/>
      <c r="T1" s="1512"/>
      <c r="U1" s="1512"/>
      <c r="V1" s="1512"/>
      <c r="W1" s="1512"/>
      <c r="X1" s="1512"/>
      <c r="Y1" s="1512"/>
      <c r="Z1" s="1512"/>
      <c r="AA1" s="1512"/>
      <c r="AB1" s="1512"/>
      <c r="AC1" s="1512"/>
      <c r="AD1" s="1512"/>
      <c r="AE1" s="1512"/>
      <c r="AF1" s="1512"/>
      <c r="AG1" s="1512"/>
      <c r="AH1" s="1511"/>
    </row>
    <row r="2" spans="1:34" ht="9.75" customHeight="1" thickBot="1">
      <c r="M2" s="1509"/>
      <c r="N2" s="1508"/>
      <c r="O2" s="1508"/>
      <c r="P2" s="1508"/>
    </row>
    <row r="3" spans="1:34" ht="18" customHeight="1" thickBot="1">
      <c r="A3" s="1496"/>
      <c r="B3" s="1507"/>
      <c r="C3" s="1507"/>
      <c r="D3" s="1507"/>
      <c r="E3" s="1507"/>
      <c r="F3" s="1507"/>
      <c r="G3" s="1507"/>
      <c r="H3" s="1507"/>
      <c r="I3" s="1507"/>
      <c r="J3" s="1507"/>
      <c r="K3" s="1507"/>
      <c r="L3" s="1498"/>
      <c r="M3" s="1498"/>
      <c r="N3" s="1506" t="s">
        <v>869</v>
      </c>
      <c r="O3" s="1505"/>
      <c r="P3" s="1504"/>
      <c r="Q3" s="1496"/>
      <c r="R3" s="1520" t="s">
        <v>873</v>
      </c>
      <c r="S3" s="1521"/>
      <c r="T3" s="1521"/>
      <c r="U3" s="1521"/>
      <c r="V3" s="1521"/>
      <c r="W3" s="1521"/>
      <c r="X3" s="1521"/>
      <c r="Y3" s="1521"/>
    </row>
    <row r="4" spans="1:34" ht="18" customHeight="1">
      <c r="A4" s="1496"/>
      <c r="B4" s="1496"/>
      <c r="C4" s="1496"/>
      <c r="D4" s="1496"/>
      <c r="E4" s="1496"/>
      <c r="F4" s="1496"/>
      <c r="G4" s="1496"/>
      <c r="H4" s="1496"/>
      <c r="I4" s="1503"/>
      <c r="J4" s="1498"/>
      <c r="K4" s="1503"/>
      <c r="L4" s="1498"/>
      <c r="M4" s="1498"/>
      <c r="N4" s="1487" t="s">
        <v>858</v>
      </c>
      <c r="O4" s="1486"/>
      <c r="P4" s="1485"/>
      <c r="Q4" s="1496"/>
      <c r="S4" s="1522" t="s">
        <v>874</v>
      </c>
      <c r="T4" s="1523"/>
      <c r="U4" s="1523"/>
      <c r="V4" s="1523"/>
      <c r="W4" s="1523"/>
      <c r="X4" s="1523"/>
      <c r="Y4" s="1523"/>
    </row>
    <row r="5" spans="1:34" ht="18" customHeight="1">
      <c r="A5" s="1496"/>
      <c r="B5" s="1496"/>
      <c r="C5" s="1496"/>
      <c r="D5" s="1496"/>
      <c r="E5" s="1496"/>
      <c r="F5" s="1496"/>
      <c r="G5" s="1496"/>
      <c r="H5" s="1496"/>
      <c r="I5" s="1498"/>
      <c r="J5" s="1497"/>
      <c r="K5" s="1498"/>
      <c r="L5" s="1497"/>
      <c r="M5" s="1497"/>
      <c r="N5" s="1487" t="s">
        <v>859</v>
      </c>
      <c r="O5" s="1486"/>
      <c r="P5" s="1485"/>
      <c r="Q5" s="1496"/>
      <c r="S5" s="1518" t="s">
        <v>857</v>
      </c>
      <c r="T5" s="1519"/>
      <c r="U5" s="1519"/>
      <c r="V5" s="1519"/>
      <c r="W5" s="1519"/>
      <c r="X5" s="1519"/>
      <c r="Y5" s="1519"/>
    </row>
    <row r="6" spans="1:34" ht="18" customHeight="1" thickBot="1">
      <c r="A6" s="1496"/>
      <c r="B6" s="1496"/>
      <c r="C6" s="1496"/>
      <c r="D6" s="1496"/>
      <c r="E6" s="1496"/>
      <c r="F6" s="1496"/>
      <c r="G6" s="1496"/>
      <c r="H6" s="1496"/>
      <c r="I6" s="1498"/>
      <c r="J6" s="1497"/>
      <c r="K6" s="1498"/>
      <c r="L6" s="1497"/>
      <c r="M6" s="1497"/>
      <c r="N6" s="1487" t="s">
        <v>860</v>
      </c>
      <c r="O6" s="1486"/>
      <c r="P6" s="1485"/>
      <c r="Q6" s="1496"/>
      <c r="R6" s="1520" t="s">
        <v>875</v>
      </c>
      <c r="S6" s="1521"/>
      <c r="T6" s="1521"/>
      <c r="U6" s="1521"/>
      <c r="V6" s="1521"/>
      <c r="W6" s="1521"/>
      <c r="X6" s="1521"/>
      <c r="Y6" s="1521"/>
    </row>
    <row r="7" spans="1:34" ht="18" customHeight="1">
      <c r="A7" s="1496"/>
      <c r="B7" s="1496"/>
      <c r="C7" s="1496"/>
      <c r="D7" s="1496"/>
      <c r="E7" s="1496"/>
      <c r="F7" s="1496"/>
      <c r="G7" s="1496"/>
      <c r="H7" s="1496"/>
      <c r="I7" s="1488"/>
      <c r="J7" s="1488"/>
      <c r="K7" s="1488"/>
      <c r="L7" s="1488"/>
      <c r="M7" s="1488"/>
      <c r="N7" s="1487" t="s">
        <v>861</v>
      </c>
      <c r="O7" s="1486"/>
      <c r="P7" s="1485"/>
      <c r="Q7" s="1496"/>
      <c r="R7" s="1522" t="s">
        <v>876</v>
      </c>
      <c r="S7" s="1523"/>
      <c r="T7" s="1523"/>
      <c r="U7" s="1523"/>
      <c r="V7" s="1523"/>
      <c r="W7" s="1523"/>
      <c r="X7" s="1523"/>
      <c r="Y7" s="1523"/>
    </row>
    <row r="8" spans="1:34" ht="18" customHeight="1">
      <c r="A8" s="1496"/>
      <c r="B8" s="1496"/>
      <c r="C8" s="1502" t="s">
        <v>856</v>
      </c>
      <c r="D8" s="1501"/>
      <c r="E8" s="1496"/>
      <c r="F8" s="1496"/>
      <c r="G8" s="1496"/>
      <c r="H8" s="1496"/>
      <c r="I8" s="1496"/>
      <c r="J8" s="1496"/>
      <c r="K8" s="1496"/>
      <c r="L8" s="1496"/>
      <c r="M8" s="1496"/>
      <c r="N8" s="1487" t="s">
        <v>862</v>
      </c>
      <c r="O8" s="1486"/>
      <c r="P8" s="1485"/>
      <c r="Q8" s="1496"/>
      <c r="S8" s="1518" t="s">
        <v>877</v>
      </c>
      <c r="T8" s="1519"/>
      <c r="U8" s="1519"/>
      <c r="V8" s="1519"/>
      <c r="W8" s="1519"/>
      <c r="X8" s="1519"/>
      <c r="Y8" s="1519"/>
    </row>
    <row r="9" spans="1:34" ht="18" customHeight="1" thickBot="1">
      <c r="A9" s="1496"/>
      <c r="B9" s="1496"/>
      <c r="C9" s="1500"/>
      <c r="D9" s="1499"/>
      <c r="E9" s="1496"/>
      <c r="F9" s="1496"/>
      <c r="G9" s="1496"/>
      <c r="H9" s="1496"/>
      <c r="I9" s="1498"/>
      <c r="J9" s="1498"/>
      <c r="K9" s="1498"/>
      <c r="L9" s="1498"/>
      <c r="M9" s="1498"/>
      <c r="N9" s="1487" t="s">
        <v>857</v>
      </c>
      <c r="O9" s="1486"/>
      <c r="P9" s="1485"/>
      <c r="Q9" s="1496"/>
      <c r="R9" s="1492"/>
      <c r="S9" s="1524" t="s">
        <v>878</v>
      </c>
      <c r="T9" s="1519"/>
      <c r="U9" s="1519"/>
      <c r="V9" s="1519"/>
      <c r="W9" s="1519"/>
      <c r="X9" s="1519"/>
      <c r="Y9" s="1519"/>
    </row>
    <row r="10" spans="1:34" ht="18" customHeight="1">
      <c r="A10" s="1496"/>
      <c r="B10" s="1496"/>
      <c r="C10" s="1496"/>
      <c r="D10" s="1496"/>
      <c r="E10" s="1496"/>
      <c r="F10" s="1496"/>
      <c r="G10" s="1496"/>
      <c r="H10" s="1496"/>
      <c r="I10" s="1498"/>
      <c r="M10" s="1498"/>
      <c r="N10" s="1487" t="s">
        <v>863</v>
      </c>
      <c r="O10" s="1486"/>
      <c r="P10" s="1485"/>
      <c r="Q10" s="1496"/>
      <c r="R10" s="1492"/>
      <c r="S10" s="1524" t="s">
        <v>857</v>
      </c>
      <c r="T10" s="1519"/>
      <c r="U10" s="1519"/>
      <c r="V10" s="1519"/>
      <c r="W10" s="1519"/>
      <c r="X10" s="1519"/>
      <c r="Y10" s="1519"/>
    </row>
    <row r="11" spans="1:34" ht="18" customHeight="1" thickBot="1">
      <c r="A11" s="1496"/>
      <c r="B11" s="1496"/>
      <c r="C11" s="1496"/>
      <c r="D11" s="1496"/>
      <c r="E11" s="1496"/>
      <c r="F11" s="1496"/>
      <c r="G11" s="1496"/>
      <c r="H11" s="1496"/>
      <c r="I11" s="1498"/>
      <c r="M11" s="1497"/>
      <c r="N11" s="1487" t="s">
        <v>864</v>
      </c>
      <c r="O11" s="1486"/>
      <c r="P11" s="1485"/>
      <c r="Q11" s="1496"/>
      <c r="R11" s="1525" t="s">
        <v>879</v>
      </c>
      <c r="S11" s="1521"/>
      <c r="T11" s="1521"/>
      <c r="U11" s="1521"/>
      <c r="V11" s="1521"/>
      <c r="W11" s="1521"/>
      <c r="X11" s="1521"/>
      <c r="Y11" s="1521"/>
    </row>
    <row r="12" spans="1:34" ht="18" customHeight="1">
      <c r="A12" s="1496"/>
      <c r="B12" s="1496"/>
      <c r="C12" s="1496"/>
      <c r="D12" s="1496"/>
      <c r="E12" s="1496"/>
      <c r="F12" s="1496"/>
      <c r="G12" s="1496"/>
      <c r="H12" s="1496"/>
      <c r="I12" s="1498"/>
      <c r="M12" s="1497"/>
      <c r="N12" s="1487" t="s">
        <v>865</v>
      </c>
      <c r="O12" s="1486"/>
      <c r="P12" s="1485"/>
      <c r="R12" s="1526" t="s">
        <v>880</v>
      </c>
      <c r="S12" s="1523"/>
      <c r="T12" s="1523"/>
      <c r="U12" s="1523"/>
      <c r="V12" s="1523"/>
      <c r="W12" s="1523"/>
      <c r="X12" s="1523"/>
      <c r="Y12" s="1523"/>
    </row>
    <row r="13" spans="1:34" ht="18" customHeight="1">
      <c r="A13" s="1496"/>
      <c r="B13" s="1496"/>
      <c r="C13" s="1496"/>
      <c r="D13" s="1496"/>
      <c r="E13" s="1496"/>
      <c r="F13" s="1496"/>
      <c r="G13" s="1496"/>
      <c r="H13" s="1496"/>
      <c r="I13" s="1488"/>
      <c r="M13" s="1488"/>
      <c r="N13" s="1487" t="s">
        <v>866</v>
      </c>
      <c r="O13" s="1486"/>
      <c r="P13" s="1485"/>
      <c r="R13" s="1492"/>
      <c r="S13" s="1524" t="s">
        <v>881</v>
      </c>
      <c r="T13" s="1519"/>
      <c r="U13" s="1519"/>
      <c r="V13" s="1519"/>
      <c r="W13" s="1519"/>
      <c r="X13" s="1519"/>
      <c r="Y13" s="1519"/>
    </row>
    <row r="14" spans="1:34" ht="18" customHeight="1">
      <c r="A14" s="1496"/>
      <c r="B14" s="1496"/>
      <c r="C14" s="1496"/>
      <c r="D14" s="1496"/>
      <c r="E14" s="1496"/>
      <c r="F14" s="1496"/>
      <c r="G14" s="1496"/>
      <c r="H14" s="1496"/>
      <c r="I14" s="1496"/>
      <c r="M14" s="1496"/>
      <c r="N14" s="1487" t="s">
        <v>867</v>
      </c>
      <c r="O14" s="1486"/>
      <c r="P14" s="1485"/>
      <c r="R14" s="1492"/>
      <c r="S14" s="1524" t="s">
        <v>882</v>
      </c>
      <c r="T14" s="1519"/>
      <c r="U14" s="1519"/>
      <c r="V14" s="1519"/>
      <c r="W14" s="1519"/>
      <c r="X14" s="1519"/>
      <c r="Y14" s="1519"/>
    </row>
    <row r="15" spans="1:34" ht="18" customHeight="1">
      <c r="N15" s="1487" t="s">
        <v>868</v>
      </c>
      <c r="O15" s="1486"/>
      <c r="P15" s="1485"/>
      <c r="S15" s="1524" t="s">
        <v>883</v>
      </c>
      <c r="T15" s="1519"/>
      <c r="U15" s="1519"/>
      <c r="V15" s="1519"/>
      <c r="W15" s="1519"/>
      <c r="X15" s="1519"/>
      <c r="Y15" s="1519"/>
    </row>
    <row r="16" spans="1:34" ht="18" customHeight="1">
      <c r="N16" s="1487"/>
      <c r="O16" s="1486"/>
      <c r="P16" s="1485"/>
      <c r="R16" s="1488"/>
      <c r="S16" s="1527" t="s">
        <v>857</v>
      </c>
      <c r="T16" s="1519"/>
      <c r="U16" s="1519"/>
      <c r="V16" s="1519"/>
      <c r="W16" s="1519"/>
      <c r="X16" s="1519"/>
      <c r="Y16" s="1519"/>
    </row>
    <row r="17" spans="1:25" ht="18" customHeight="1">
      <c r="N17" s="1487"/>
      <c r="O17" s="1486"/>
      <c r="P17" s="1485"/>
      <c r="R17" s="1528" t="s">
        <v>884</v>
      </c>
      <c r="S17" s="1519"/>
      <c r="T17" s="1519"/>
      <c r="U17" s="1519"/>
      <c r="V17" s="1519"/>
      <c r="W17" s="1519"/>
      <c r="X17" s="1519"/>
      <c r="Y17" s="1519"/>
    </row>
    <row r="18" spans="1:25" ht="18" customHeight="1">
      <c r="N18" s="1487"/>
      <c r="O18" s="1486"/>
      <c r="P18" s="1485"/>
      <c r="R18" s="1495"/>
      <c r="S18" s="1528" t="s">
        <v>885</v>
      </c>
      <c r="T18" s="1519"/>
      <c r="U18" s="1519"/>
      <c r="V18" s="1519"/>
      <c r="W18" s="1519"/>
      <c r="X18" s="1519"/>
      <c r="Y18" s="1519"/>
    </row>
    <row r="19" spans="1:25" ht="18" customHeight="1">
      <c r="I19" s="1488"/>
      <c r="M19" s="1488"/>
      <c r="N19" s="1487"/>
      <c r="O19" s="1486"/>
      <c r="P19" s="1485"/>
      <c r="R19" s="1494"/>
      <c r="S19" s="1529" t="s">
        <v>886</v>
      </c>
      <c r="T19" s="1519"/>
      <c r="U19" s="1519"/>
      <c r="V19" s="1519"/>
      <c r="W19" s="1519"/>
      <c r="X19" s="1519"/>
      <c r="Y19" s="1519"/>
    </row>
    <row r="20" spans="1:25" ht="18" customHeight="1">
      <c r="N20" s="1487"/>
      <c r="O20" s="1486"/>
      <c r="P20" s="1485"/>
      <c r="R20" s="1492"/>
      <c r="S20" s="1524" t="s">
        <v>857</v>
      </c>
      <c r="T20" s="1519"/>
      <c r="U20" s="1519"/>
      <c r="V20" s="1519"/>
      <c r="W20" s="1519"/>
      <c r="X20" s="1519"/>
      <c r="Y20" s="1519"/>
    </row>
    <row r="21" spans="1:25" ht="18" customHeight="1" thickBot="1">
      <c r="A21" s="1493"/>
      <c r="B21" s="1492"/>
      <c r="C21" s="1492"/>
      <c r="N21" s="1487"/>
      <c r="O21" s="1486"/>
      <c r="P21" s="1485"/>
      <c r="R21" s="1530" t="s">
        <v>887</v>
      </c>
      <c r="S21" s="1521"/>
      <c r="T21" s="1521"/>
      <c r="U21" s="1521"/>
      <c r="V21" s="1521"/>
      <c r="W21" s="1521"/>
      <c r="X21" s="1521"/>
      <c r="Y21" s="1521"/>
    </row>
    <row r="22" spans="1:25" ht="18" customHeight="1">
      <c r="A22" s="1493"/>
      <c r="B22" s="1492"/>
      <c r="C22" s="1492"/>
      <c r="N22" s="1487"/>
      <c r="O22" s="1486"/>
      <c r="P22" s="1485"/>
      <c r="R22" s="1491"/>
      <c r="S22" s="1531" t="s">
        <v>888</v>
      </c>
      <c r="T22" s="1523"/>
      <c r="U22" s="1523"/>
      <c r="V22" s="1523"/>
      <c r="W22" s="1523"/>
      <c r="X22" s="1523"/>
      <c r="Y22" s="1523"/>
    </row>
    <row r="23" spans="1:25" ht="18" customHeight="1">
      <c r="N23" s="1487"/>
      <c r="O23" s="1486"/>
      <c r="P23" s="1485"/>
      <c r="S23" s="1518" t="s">
        <v>889</v>
      </c>
      <c r="T23" s="1519"/>
      <c r="U23" s="1519"/>
      <c r="V23" s="1519"/>
      <c r="W23" s="1519"/>
      <c r="X23" s="1519"/>
      <c r="Y23" s="1519"/>
    </row>
    <row r="24" spans="1:25" ht="18" customHeight="1">
      <c r="N24" s="1487"/>
      <c r="O24" s="1486"/>
      <c r="P24" s="1485"/>
      <c r="S24" s="1518" t="s">
        <v>890</v>
      </c>
      <c r="T24" s="1519"/>
      <c r="U24" s="1519"/>
      <c r="V24" s="1519"/>
      <c r="W24" s="1519"/>
      <c r="X24" s="1519"/>
      <c r="Y24" s="1519"/>
    </row>
    <row r="25" spans="1:25" ht="18" customHeight="1">
      <c r="N25" s="1487"/>
      <c r="O25" s="1486"/>
      <c r="P25" s="1485"/>
      <c r="S25" s="1518" t="s">
        <v>891</v>
      </c>
      <c r="T25" s="1519"/>
      <c r="U25" s="1519"/>
      <c r="V25" s="1519"/>
      <c r="W25" s="1519"/>
      <c r="X25" s="1519"/>
      <c r="Y25" s="1519"/>
    </row>
    <row r="26" spans="1:25" ht="18" customHeight="1">
      <c r="N26" s="1487"/>
      <c r="O26" s="1486"/>
      <c r="P26" s="1485"/>
    </row>
    <row r="27" spans="1:25" ht="18" customHeight="1">
      <c r="N27" s="1487"/>
      <c r="O27" s="1486"/>
      <c r="P27" s="1485"/>
    </row>
    <row r="28" spans="1:25" ht="18" customHeight="1">
      <c r="A28" s="1488"/>
      <c r="B28" s="1488"/>
      <c r="C28" s="1488"/>
      <c r="D28" s="1488"/>
      <c r="N28" s="1487"/>
      <c r="O28" s="1486"/>
      <c r="P28" s="1485"/>
    </row>
    <row r="29" spans="1:25" ht="18" customHeight="1" thickBot="1">
      <c r="A29" s="1490" t="s">
        <v>855</v>
      </c>
      <c r="B29" s="1490"/>
      <c r="C29" s="1490"/>
      <c r="D29" s="1490"/>
      <c r="E29" s="1490"/>
      <c r="F29" s="1490"/>
      <c r="G29" s="1490"/>
      <c r="H29" s="1490"/>
      <c r="I29" s="1490"/>
      <c r="J29" s="1490"/>
      <c r="K29" s="1490"/>
      <c r="L29" s="1490"/>
      <c r="M29" s="1488"/>
      <c r="N29" s="1487"/>
      <c r="O29" s="1486"/>
      <c r="P29" s="1485"/>
    </row>
    <row r="30" spans="1:25" ht="18" customHeight="1">
      <c r="A30" s="1489" t="s">
        <v>870</v>
      </c>
      <c r="B30" s="1489"/>
      <c r="C30" s="1489"/>
      <c r="D30" s="1489"/>
      <c r="E30" s="1489"/>
      <c r="F30" s="1489"/>
      <c r="G30" s="1489"/>
      <c r="H30" s="1489"/>
      <c r="I30" s="1489"/>
      <c r="J30" s="1489"/>
      <c r="K30" s="1489"/>
      <c r="L30" s="1489"/>
      <c r="M30" s="1488"/>
      <c r="N30" s="1487"/>
      <c r="O30" s="1486"/>
      <c r="P30" s="1485"/>
    </row>
    <row r="31" spans="1:25" ht="18" customHeight="1">
      <c r="A31" s="1484" t="s">
        <v>871</v>
      </c>
      <c r="B31" s="1484"/>
      <c r="C31" s="1484"/>
      <c r="D31" s="1484"/>
      <c r="E31" s="1484"/>
      <c r="F31" s="1484"/>
      <c r="G31" s="1484"/>
      <c r="H31" s="1484"/>
      <c r="I31" s="1484"/>
      <c r="J31" s="1484"/>
      <c r="K31" s="1484"/>
      <c r="L31" s="1484"/>
      <c r="N31" s="1487"/>
      <c r="O31" s="1486"/>
      <c r="P31" s="1485"/>
    </row>
    <row r="32" spans="1:25" ht="18" customHeight="1">
      <c r="A32" s="1484"/>
      <c r="B32" s="1484"/>
      <c r="C32" s="1484"/>
      <c r="D32" s="1484"/>
      <c r="E32" s="1484"/>
      <c r="F32" s="1484"/>
      <c r="G32" s="1484"/>
      <c r="H32" s="1484"/>
      <c r="I32" s="1484"/>
      <c r="J32" s="1484"/>
      <c r="K32" s="1484"/>
      <c r="L32" s="1484"/>
      <c r="N32" s="1483"/>
      <c r="O32" s="1482"/>
      <c r="P32" s="1481"/>
    </row>
  </sheetData>
  <mergeCells count="58">
    <mergeCell ref="R21:Y21"/>
    <mergeCell ref="S22:Y22"/>
    <mergeCell ref="S23:Y23"/>
    <mergeCell ref="S24:Y24"/>
    <mergeCell ref="S25:Y25"/>
    <mergeCell ref="S15:Y15"/>
    <mergeCell ref="S16:Y16"/>
    <mergeCell ref="R17:Y17"/>
    <mergeCell ref="S18:Y18"/>
    <mergeCell ref="S19:Y19"/>
    <mergeCell ref="S20:Y20"/>
    <mergeCell ref="S9:Y9"/>
    <mergeCell ref="S10:Y10"/>
    <mergeCell ref="R11:Y11"/>
    <mergeCell ref="R12:Y12"/>
    <mergeCell ref="S13:Y13"/>
    <mergeCell ref="S14:Y14"/>
    <mergeCell ref="R3:Y3"/>
    <mergeCell ref="S4:Y4"/>
    <mergeCell ref="S5:Y5"/>
    <mergeCell ref="R6:Y6"/>
    <mergeCell ref="R7:Y7"/>
    <mergeCell ref="S8:Y8"/>
    <mergeCell ref="B3:K3"/>
    <mergeCell ref="N3:P3"/>
    <mergeCell ref="N4:P4"/>
    <mergeCell ref="N5:P5"/>
    <mergeCell ref="N6:P6"/>
    <mergeCell ref="N7:P7"/>
    <mergeCell ref="C8:D9"/>
    <mergeCell ref="N8:P8"/>
    <mergeCell ref="N9:P9"/>
    <mergeCell ref="N10:P10"/>
    <mergeCell ref="N11:P11"/>
    <mergeCell ref="N12:P12"/>
    <mergeCell ref="N13:P13"/>
    <mergeCell ref="N14:P14"/>
    <mergeCell ref="N15:P15"/>
    <mergeCell ref="N16:P16"/>
    <mergeCell ref="N17:P17"/>
    <mergeCell ref="N18:P18"/>
    <mergeCell ref="N30:P30"/>
    <mergeCell ref="N19:P19"/>
    <mergeCell ref="N20:P20"/>
    <mergeCell ref="N21:P21"/>
    <mergeCell ref="N22:P22"/>
    <mergeCell ref="N23:P23"/>
    <mergeCell ref="N24:P24"/>
    <mergeCell ref="A31:L31"/>
    <mergeCell ref="N31:P31"/>
    <mergeCell ref="A32:L32"/>
    <mergeCell ref="N32:P32"/>
    <mergeCell ref="N25:P25"/>
    <mergeCell ref="N26:P26"/>
    <mergeCell ref="N27:P27"/>
    <mergeCell ref="N28:P28"/>
    <mergeCell ref="N29:P29"/>
    <mergeCell ref="A30:L30"/>
  </mergeCells>
  <phoneticPr fontId="3"/>
  <printOptions horizontalCentered="1" gridLinesSet="0"/>
  <pageMargins left="0.39370078740157483" right="0.31496062992125984" top="0.59055118110236227" bottom="0.31496062992125984" header="0.39370078740157483" footer="0.23622047244094491"/>
  <pageSetup paperSize="9" scale="92" fitToWidth="0" orientation="landscape" horizontalDpi="4294967292" verticalDpi="4294967292" r:id="rId1"/>
  <headerFooter scaleWithDoc="0">
    <oddFooter>&amp;C&amp;"ＭＳ Ｐゴシック,標準"&amp;9( &amp;P / &amp;N )</oddFooter>
  </headerFooter>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13"/>
  <sheetViews>
    <sheetView showGridLines="0" zoomScale="90" zoomScaleNormal="90" workbookViewId="0">
      <selection sqref="A1:E1"/>
    </sheetView>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893</v>
      </c>
    </row>
    <row r="6" spans="1:5" ht="30" customHeight="1">
      <c r="A6" s="6"/>
    </row>
    <row r="7" spans="1:5" ht="30" customHeight="1">
      <c r="A7" s="6" t="s">
        <v>894</v>
      </c>
    </row>
    <row r="8" spans="1:5" ht="30" customHeight="1">
      <c r="A8" s="6"/>
    </row>
    <row r="9" spans="1:5" ht="30" customHeight="1">
      <c r="A9" s="6"/>
    </row>
    <row r="10" spans="1:5" ht="30" customHeight="1">
      <c r="A10" s="6"/>
    </row>
    <row r="11" spans="1:5" ht="30" customHeight="1">
      <c r="A11" s="6"/>
    </row>
    <row r="12" spans="1:5" ht="30" customHeight="1">
      <c r="A12" s="6"/>
    </row>
    <row r="13" spans="1:5" ht="30" customHeight="1">
      <c r="A13" s="6"/>
    </row>
  </sheetData>
  <sheetProtection insertRows="0" deleteRows="0" sort="0" autoFilter="0"/>
  <phoneticPr fontId="3"/>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oddFooter>&amp;C&amp;"ＭＳ Ｐゴシック,標準"&amp;9( &amp;P / &amp;N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C68"/>
  <sheetViews>
    <sheetView showGridLines="0" zoomScale="80" zoomScaleNormal="80" workbookViewId="0">
      <pane xSplit="4" ySplit="5" topLeftCell="E6" activePane="bottomRight" state="frozenSplit"/>
      <selection sqref="A1:E1"/>
      <selection pane="topRight" sqref="A1:E1"/>
      <selection pane="bottomLeft" sqref="A1:E1"/>
      <selection pane="bottomRight" sqref="A1:E1"/>
    </sheetView>
  </sheetViews>
  <sheetFormatPr defaultColWidth="9.140625" defaultRowHeight="13.5" customHeight="1"/>
  <cols>
    <col min="1" max="1" width="5.42578125" style="1308" customWidth="1"/>
    <col min="2" max="2" width="7.5703125" style="1308" customWidth="1"/>
    <col min="3" max="3" width="33.7109375" style="1308" customWidth="1"/>
    <col min="4" max="4" width="10.7109375" style="1308" customWidth="1"/>
    <col min="5" max="28" width="7.7109375" style="1308" customWidth="1"/>
    <col min="29" max="29" width="14.7109375" style="1308" customWidth="1"/>
    <col min="30" max="16384" width="9.140625" style="1304"/>
  </cols>
  <sheetData>
    <row r="1" spans="1:29" s="1544" customFormat="1" ht="30" customHeight="1">
      <c r="A1" s="1552" t="s">
        <v>899</v>
      </c>
      <c r="B1" s="1551"/>
      <c r="C1" s="1550"/>
      <c r="D1" s="1549"/>
      <c r="E1" s="1548"/>
      <c r="F1" s="1548"/>
      <c r="G1" s="1548"/>
      <c r="H1" s="1547"/>
      <c r="I1" s="1547"/>
      <c r="J1" s="1548"/>
      <c r="K1" s="1548"/>
      <c r="L1" s="1547"/>
      <c r="M1" s="1547"/>
      <c r="N1" s="1548"/>
      <c r="O1" s="1547"/>
      <c r="P1" s="1548"/>
      <c r="Q1" s="1548"/>
      <c r="R1" s="1547"/>
      <c r="S1" s="1548"/>
      <c r="T1" s="1548"/>
      <c r="U1" s="1547"/>
      <c r="V1" s="1548"/>
      <c r="W1" s="1548"/>
      <c r="X1" s="1547"/>
      <c r="Y1" s="1547"/>
      <c r="Z1" s="1548"/>
      <c r="AA1" s="1547"/>
      <c r="AB1" s="1546"/>
      <c r="AC1" s="1545"/>
    </row>
    <row r="4" spans="1:29" ht="13.5" customHeight="1">
      <c r="A4" s="1408" t="s">
        <v>347</v>
      </c>
      <c r="B4" s="1407" t="s">
        <v>334</v>
      </c>
      <c r="C4" s="1543" t="s">
        <v>898</v>
      </c>
      <c r="D4" s="1542" t="s">
        <v>897</v>
      </c>
      <c r="E4" s="1541" t="s">
        <v>896</v>
      </c>
      <c r="F4" s="1540"/>
      <c r="G4" s="1540"/>
      <c r="H4" s="1540"/>
      <c r="I4" s="1540"/>
      <c r="J4" s="1540"/>
      <c r="K4" s="1540"/>
      <c r="L4" s="1540"/>
      <c r="M4" s="1540"/>
      <c r="N4" s="1540"/>
      <c r="O4" s="1540"/>
      <c r="P4" s="1540"/>
      <c r="Q4" s="1540"/>
      <c r="R4" s="1540"/>
      <c r="S4" s="1540"/>
      <c r="T4" s="1540"/>
      <c r="U4" s="1540"/>
      <c r="V4" s="1540"/>
      <c r="W4" s="1540"/>
      <c r="X4" s="1540"/>
      <c r="Y4" s="1540"/>
      <c r="Z4" s="1540"/>
      <c r="AA4" s="1540"/>
      <c r="AB4" s="1539"/>
      <c r="AC4" s="1538" t="s">
        <v>895</v>
      </c>
    </row>
    <row r="5" spans="1:29" ht="13.5" customHeight="1">
      <c r="A5" s="1376"/>
      <c r="B5" s="1375"/>
      <c r="C5" s="1553"/>
      <c r="D5" s="1554"/>
      <c r="E5" s="1537">
        <v>1</v>
      </c>
      <c r="F5" s="1536">
        <v>2</v>
      </c>
      <c r="G5" s="1536">
        <v>3</v>
      </c>
      <c r="H5" s="1536">
        <v>4</v>
      </c>
      <c r="I5" s="1536">
        <v>5</v>
      </c>
      <c r="J5" s="1536">
        <v>6</v>
      </c>
      <c r="K5" s="1536">
        <v>7</v>
      </c>
      <c r="L5" s="1536">
        <v>8</v>
      </c>
      <c r="M5" s="1536">
        <v>9</v>
      </c>
      <c r="N5" s="1536">
        <v>10</v>
      </c>
      <c r="O5" s="1536">
        <v>11</v>
      </c>
      <c r="P5" s="1536">
        <v>12</v>
      </c>
      <c r="Q5" s="1536">
        <v>13</v>
      </c>
      <c r="R5" s="1536">
        <v>14</v>
      </c>
      <c r="S5" s="1536">
        <v>15</v>
      </c>
      <c r="T5" s="1536">
        <v>16</v>
      </c>
      <c r="U5" s="1536">
        <v>17</v>
      </c>
      <c r="V5" s="1536">
        <v>18</v>
      </c>
      <c r="W5" s="1536">
        <v>19</v>
      </c>
      <c r="X5" s="1536">
        <v>20</v>
      </c>
      <c r="Y5" s="1536">
        <v>21</v>
      </c>
      <c r="Z5" s="1536">
        <v>22</v>
      </c>
      <c r="AA5" s="1536">
        <v>23</v>
      </c>
      <c r="AB5" s="1535">
        <v>24</v>
      </c>
      <c r="AC5" s="1555"/>
    </row>
    <row r="6" spans="1:29" ht="13.5" customHeight="1">
      <c r="A6" s="1561" t="s">
        <v>357</v>
      </c>
      <c r="B6" s="1562"/>
      <c r="C6" s="1562"/>
      <c r="D6" s="1562"/>
      <c r="E6" s="1562"/>
      <c r="F6" s="1562"/>
      <c r="G6" s="1562"/>
      <c r="H6" s="1562"/>
      <c r="I6" s="1562"/>
      <c r="J6" s="1562"/>
      <c r="K6" s="1562"/>
      <c r="L6" s="1562"/>
      <c r="M6" s="1562"/>
      <c r="N6" s="1562"/>
      <c r="O6" s="1562"/>
      <c r="P6" s="1562"/>
      <c r="Q6" s="1562"/>
      <c r="R6" s="1562"/>
      <c r="S6" s="1562"/>
      <c r="T6" s="1562"/>
      <c r="U6" s="1562"/>
      <c r="V6" s="1562"/>
      <c r="W6" s="1562"/>
      <c r="X6" s="1562"/>
      <c r="Y6" s="1562"/>
      <c r="Z6" s="1562"/>
      <c r="AA6" s="1562"/>
      <c r="AB6" s="1562"/>
      <c r="AC6" s="1563"/>
    </row>
    <row r="7" spans="1:29" ht="13.5" customHeight="1">
      <c r="A7" s="1570" t="s">
        <v>900</v>
      </c>
      <c r="B7" s="1571"/>
      <c r="C7" s="1572"/>
      <c r="D7" s="1565"/>
      <c r="E7" s="1566"/>
      <c r="F7" s="1567"/>
      <c r="G7" s="1567"/>
      <c r="H7" s="1567"/>
      <c r="I7" s="1567"/>
      <c r="J7" s="1567"/>
      <c r="K7" s="1567"/>
      <c r="L7" s="1567"/>
      <c r="M7" s="1567"/>
      <c r="N7" s="1567"/>
      <c r="O7" s="1567"/>
      <c r="P7" s="1567"/>
      <c r="Q7" s="1567"/>
      <c r="R7" s="1567"/>
      <c r="S7" s="1567"/>
      <c r="T7" s="1567"/>
      <c r="U7" s="1567"/>
      <c r="V7" s="1567"/>
      <c r="W7" s="1567"/>
      <c r="X7" s="1567"/>
      <c r="Y7" s="1567"/>
      <c r="Z7" s="1567"/>
      <c r="AA7" s="1567"/>
      <c r="AB7" s="1568"/>
      <c r="AC7" s="1569"/>
    </row>
    <row r="8" spans="1:29" ht="13.5" customHeight="1">
      <c r="A8" s="1334">
        <v>2</v>
      </c>
      <c r="B8" s="1333">
        <v>201</v>
      </c>
      <c r="C8" s="1556" t="s">
        <v>323</v>
      </c>
      <c r="D8" s="1331">
        <v>56.25</v>
      </c>
      <c r="E8" s="1321">
        <v>0</v>
      </c>
      <c r="F8" s="1320">
        <v>0</v>
      </c>
      <c r="G8" s="1320">
        <v>0</v>
      </c>
      <c r="H8" s="1320">
        <v>0</v>
      </c>
      <c r="I8" s="1320">
        <v>0</v>
      </c>
      <c r="J8" s="1320">
        <v>0</v>
      </c>
      <c r="K8" s="1320">
        <v>0</v>
      </c>
      <c r="L8" s="1320">
        <v>0</v>
      </c>
      <c r="M8" s="1320">
        <v>5532</v>
      </c>
      <c r="N8" s="1320">
        <v>5591</v>
      </c>
      <c r="O8" s="1320">
        <v>5741</v>
      </c>
      <c r="P8" s="1320">
        <v>5845</v>
      </c>
      <c r="Q8" s="1320">
        <v>5748</v>
      </c>
      <c r="R8" s="1320">
        <v>5525</v>
      </c>
      <c r="S8" s="1320">
        <v>5509</v>
      </c>
      <c r="T8" s="1320">
        <v>5448</v>
      </c>
      <c r="U8" s="1320">
        <v>5306</v>
      </c>
      <c r="V8" s="1320">
        <v>5149</v>
      </c>
      <c r="W8" s="1320">
        <v>0</v>
      </c>
      <c r="X8" s="1320">
        <v>0</v>
      </c>
      <c r="Y8" s="1320">
        <v>0</v>
      </c>
      <c r="Z8" s="1320">
        <v>0</v>
      </c>
      <c r="AA8" s="1320">
        <v>0</v>
      </c>
      <c r="AB8" s="1533">
        <v>0</v>
      </c>
      <c r="AC8" s="1532"/>
    </row>
    <row r="9" spans="1:29" ht="13.5" customHeight="1">
      <c r="A9" s="1334">
        <v>2</v>
      </c>
      <c r="B9" s="1333">
        <v>202</v>
      </c>
      <c r="C9" s="1534" t="s">
        <v>509</v>
      </c>
      <c r="D9" s="1331">
        <v>196.5</v>
      </c>
      <c r="E9" s="1321">
        <v>0</v>
      </c>
      <c r="F9" s="1320">
        <v>0</v>
      </c>
      <c r="G9" s="1320">
        <v>0</v>
      </c>
      <c r="H9" s="1320">
        <v>0</v>
      </c>
      <c r="I9" s="1320">
        <v>0</v>
      </c>
      <c r="J9" s="1320">
        <v>0</v>
      </c>
      <c r="K9" s="1320">
        <v>0</v>
      </c>
      <c r="L9" s="1320">
        <v>0</v>
      </c>
      <c r="M9" s="1320">
        <v>21652</v>
      </c>
      <c r="N9" s="1320">
        <v>21920</v>
      </c>
      <c r="O9" s="1320">
        <v>22402</v>
      </c>
      <c r="P9" s="1320">
        <v>22779</v>
      </c>
      <c r="Q9" s="1320">
        <v>22293</v>
      </c>
      <c r="R9" s="1320">
        <v>21305</v>
      </c>
      <c r="S9" s="1320">
        <v>21108</v>
      </c>
      <c r="T9" s="1320">
        <v>20712</v>
      </c>
      <c r="U9" s="1320">
        <v>20008</v>
      </c>
      <c r="V9" s="1320">
        <v>19310</v>
      </c>
      <c r="W9" s="1320">
        <v>0</v>
      </c>
      <c r="X9" s="1320">
        <v>0</v>
      </c>
      <c r="Y9" s="1320">
        <v>0</v>
      </c>
      <c r="Z9" s="1320">
        <v>0</v>
      </c>
      <c r="AA9" s="1320">
        <v>0</v>
      </c>
      <c r="AB9" s="1533">
        <v>0</v>
      </c>
      <c r="AC9" s="1532"/>
    </row>
    <row r="10" spans="1:29" ht="13.5" customHeight="1">
      <c r="A10" s="1334">
        <v>2</v>
      </c>
      <c r="B10" s="1333">
        <v>203</v>
      </c>
      <c r="C10" s="1534" t="s">
        <v>540</v>
      </c>
      <c r="D10" s="1331">
        <v>5.7</v>
      </c>
      <c r="E10" s="1321">
        <v>0</v>
      </c>
      <c r="F10" s="1320">
        <v>0</v>
      </c>
      <c r="G10" s="1320">
        <v>0</v>
      </c>
      <c r="H10" s="1320">
        <v>0</v>
      </c>
      <c r="I10" s="1320">
        <v>0</v>
      </c>
      <c r="J10" s="1320">
        <v>0</v>
      </c>
      <c r="K10" s="1320">
        <v>0</v>
      </c>
      <c r="L10" s="1320">
        <v>0</v>
      </c>
      <c r="M10" s="1320">
        <v>78</v>
      </c>
      <c r="N10" s="1320">
        <v>69</v>
      </c>
      <c r="O10" s="1320">
        <v>75</v>
      </c>
      <c r="P10" s="1320">
        <v>76</v>
      </c>
      <c r="Q10" s="1320">
        <v>76</v>
      </c>
      <c r="R10" s="1320">
        <v>74</v>
      </c>
      <c r="S10" s="1320">
        <v>68</v>
      </c>
      <c r="T10" s="1320">
        <v>64</v>
      </c>
      <c r="U10" s="1320">
        <v>55</v>
      </c>
      <c r="V10" s="1320">
        <v>49</v>
      </c>
      <c r="W10" s="1320">
        <v>0</v>
      </c>
      <c r="X10" s="1320">
        <v>0</v>
      </c>
      <c r="Y10" s="1320">
        <v>0</v>
      </c>
      <c r="Z10" s="1320">
        <v>0</v>
      </c>
      <c r="AA10" s="1320">
        <v>0</v>
      </c>
      <c r="AB10" s="1533">
        <v>0</v>
      </c>
      <c r="AC10" s="1532"/>
    </row>
    <row r="11" spans="1:29" ht="13.5" customHeight="1">
      <c r="A11" s="1334">
        <v>2</v>
      </c>
      <c r="B11" s="1333">
        <v>204</v>
      </c>
      <c r="C11" s="1534" t="s">
        <v>563</v>
      </c>
      <c r="D11" s="1331">
        <v>16.53</v>
      </c>
      <c r="E11" s="1321">
        <v>0</v>
      </c>
      <c r="F11" s="1320">
        <v>0</v>
      </c>
      <c r="G11" s="1320">
        <v>0</v>
      </c>
      <c r="H11" s="1320">
        <v>0</v>
      </c>
      <c r="I11" s="1320">
        <v>0</v>
      </c>
      <c r="J11" s="1320">
        <v>0</v>
      </c>
      <c r="K11" s="1320">
        <v>0</v>
      </c>
      <c r="L11" s="1320">
        <v>0</v>
      </c>
      <c r="M11" s="1320">
        <v>1375</v>
      </c>
      <c r="N11" s="1320">
        <v>1401</v>
      </c>
      <c r="O11" s="1320">
        <v>1445</v>
      </c>
      <c r="P11" s="1320">
        <v>1476</v>
      </c>
      <c r="Q11" s="1320">
        <v>1436</v>
      </c>
      <c r="R11" s="1320">
        <v>1356</v>
      </c>
      <c r="S11" s="1320">
        <v>1336</v>
      </c>
      <c r="T11" s="1320">
        <v>1303</v>
      </c>
      <c r="U11" s="1320">
        <v>1245</v>
      </c>
      <c r="V11" s="1320">
        <v>1184</v>
      </c>
      <c r="W11" s="1320">
        <v>0</v>
      </c>
      <c r="X11" s="1320">
        <v>0</v>
      </c>
      <c r="Y11" s="1320">
        <v>0</v>
      </c>
      <c r="Z11" s="1320">
        <v>0</v>
      </c>
      <c r="AA11" s="1320">
        <v>0</v>
      </c>
      <c r="AB11" s="1533">
        <v>0</v>
      </c>
      <c r="AC11" s="1532"/>
    </row>
    <row r="12" spans="1:29" ht="13.5" customHeight="1">
      <c r="A12" s="1334">
        <v>2</v>
      </c>
      <c r="B12" s="1333">
        <v>205</v>
      </c>
      <c r="C12" s="1534" t="s">
        <v>588</v>
      </c>
      <c r="D12" s="1331">
        <v>17.600000000000001</v>
      </c>
      <c r="E12" s="1321">
        <v>0</v>
      </c>
      <c r="F12" s="1320">
        <v>0</v>
      </c>
      <c r="G12" s="1320">
        <v>0</v>
      </c>
      <c r="H12" s="1320">
        <v>0</v>
      </c>
      <c r="I12" s="1320">
        <v>0</v>
      </c>
      <c r="J12" s="1320">
        <v>0</v>
      </c>
      <c r="K12" s="1320">
        <v>0</v>
      </c>
      <c r="L12" s="1320">
        <v>0</v>
      </c>
      <c r="M12" s="1320">
        <v>1525</v>
      </c>
      <c r="N12" s="1320">
        <v>1560</v>
      </c>
      <c r="O12" s="1320">
        <v>1614</v>
      </c>
      <c r="P12" s="1320">
        <v>1638</v>
      </c>
      <c r="Q12" s="1320">
        <v>1575</v>
      </c>
      <c r="R12" s="1320">
        <v>1455</v>
      </c>
      <c r="S12" s="1320">
        <v>1433</v>
      </c>
      <c r="T12" s="1320">
        <v>1389</v>
      </c>
      <c r="U12" s="1320">
        <v>1317</v>
      </c>
      <c r="V12" s="1320">
        <v>1241</v>
      </c>
      <c r="W12" s="1320">
        <v>0</v>
      </c>
      <c r="X12" s="1320">
        <v>0</v>
      </c>
      <c r="Y12" s="1320">
        <v>0</v>
      </c>
      <c r="Z12" s="1320">
        <v>0</v>
      </c>
      <c r="AA12" s="1320">
        <v>0</v>
      </c>
      <c r="AB12" s="1533">
        <v>0</v>
      </c>
      <c r="AC12" s="1532"/>
    </row>
    <row r="13" spans="1:29" ht="13.5" customHeight="1">
      <c r="A13" s="1334">
        <v>2</v>
      </c>
      <c r="B13" s="1333">
        <v>206</v>
      </c>
      <c r="C13" s="1534" t="s">
        <v>612</v>
      </c>
      <c r="D13" s="1331">
        <v>30</v>
      </c>
      <c r="E13" s="1321">
        <v>0</v>
      </c>
      <c r="F13" s="1320">
        <v>0</v>
      </c>
      <c r="G13" s="1320">
        <v>0</v>
      </c>
      <c r="H13" s="1320">
        <v>0</v>
      </c>
      <c r="I13" s="1320">
        <v>0</v>
      </c>
      <c r="J13" s="1320">
        <v>0</v>
      </c>
      <c r="K13" s="1320">
        <v>0</v>
      </c>
      <c r="L13" s="1320">
        <v>0</v>
      </c>
      <c r="M13" s="1320">
        <v>1928</v>
      </c>
      <c r="N13" s="1320">
        <v>1969</v>
      </c>
      <c r="O13" s="1320">
        <v>2067</v>
      </c>
      <c r="P13" s="1320">
        <v>2098</v>
      </c>
      <c r="Q13" s="1320">
        <v>2066</v>
      </c>
      <c r="R13" s="1320">
        <v>1967</v>
      </c>
      <c r="S13" s="1320">
        <v>1941</v>
      </c>
      <c r="T13" s="1320">
        <v>1899</v>
      </c>
      <c r="U13" s="1320">
        <v>1823</v>
      </c>
      <c r="V13" s="1320">
        <v>1744</v>
      </c>
      <c r="W13" s="1320">
        <v>0</v>
      </c>
      <c r="X13" s="1320">
        <v>0</v>
      </c>
      <c r="Y13" s="1320">
        <v>0</v>
      </c>
      <c r="Z13" s="1320">
        <v>0</v>
      </c>
      <c r="AA13" s="1320">
        <v>0</v>
      </c>
      <c r="AB13" s="1533">
        <v>0</v>
      </c>
      <c r="AC13" s="1532"/>
    </row>
    <row r="14" spans="1:29" ht="13.5" customHeight="1">
      <c r="A14" s="1334">
        <v>2</v>
      </c>
      <c r="B14" s="1333">
        <v>207</v>
      </c>
      <c r="C14" s="1534" t="s">
        <v>634</v>
      </c>
      <c r="D14" s="1331">
        <v>108</v>
      </c>
      <c r="E14" s="1321">
        <v>0</v>
      </c>
      <c r="F14" s="1320">
        <v>0</v>
      </c>
      <c r="G14" s="1320">
        <v>0</v>
      </c>
      <c r="H14" s="1320">
        <v>0</v>
      </c>
      <c r="I14" s="1320">
        <v>0</v>
      </c>
      <c r="J14" s="1320">
        <v>0</v>
      </c>
      <c r="K14" s="1320">
        <v>0</v>
      </c>
      <c r="L14" s="1320">
        <v>0</v>
      </c>
      <c r="M14" s="1320">
        <v>11618</v>
      </c>
      <c r="N14" s="1320">
        <v>11554</v>
      </c>
      <c r="O14" s="1320">
        <v>11682</v>
      </c>
      <c r="P14" s="1320">
        <v>11907</v>
      </c>
      <c r="Q14" s="1320">
        <v>11858</v>
      </c>
      <c r="R14" s="1320">
        <v>11704</v>
      </c>
      <c r="S14" s="1320">
        <v>11575</v>
      </c>
      <c r="T14" s="1320">
        <v>11356</v>
      </c>
      <c r="U14" s="1320">
        <v>11114</v>
      </c>
      <c r="V14" s="1320">
        <v>10672</v>
      </c>
      <c r="W14" s="1320">
        <v>0</v>
      </c>
      <c r="X14" s="1320">
        <v>0</v>
      </c>
      <c r="Y14" s="1320">
        <v>0</v>
      </c>
      <c r="Z14" s="1320">
        <v>0</v>
      </c>
      <c r="AA14" s="1320">
        <v>0</v>
      </c>
      <c r="AB14" s="1533">
        <v>0</v>
      </c>
      <c r="AC14" s="1532"/>
    </row>
    <row r="15" spans="1:29" ht="13.5" customHeight="1">
      <c r="A15" s="1334">
        <v>2</v>
      </c>
      <c r="B15" s="1333">
        <v>208</v>
      </c>
      <c r="C15" s="1534" t="s">
        <v>649</v>
      </c>
      <c r="D15" s="1331">
        <v>108</v>
      </c>
      <c r="E15" s="1321">
        <v>0</v>
      </c>
      <c r="F15" s="1320">
        <v>0</v>
      </c>
      <c r="G15" s="1320">
        <v>0</v>
      </c>
      <c r="H15" s="1320">
        <v>0</v>
      </c>
      <c r="I15" s="1320">
        <v>0</v>
      </c>
      <c r="J15" s="1320">
        <v>0</v>
      </c>
      <c r="K15" s="1320">
        <v>0</v>
      </c>
      <c r="L15" s="1320">
        <v>0</v>
      </c>
      <c r="M15" s="1320">
        <v>11557</v>
      </c>
      <c r="N15" s="1320">
        <v>11474</v>
      </c>
      <c r="O15" s="1320">
        <v>11583</v>
      </c>
      <c r="P15" s="1320">
        <v>11802</v>
      </c>
      <c r="Q15" s="1320">
        <v>11747</v>
      </c>
      <c r="R15" s="1320">
        <v>11593</v>
      </c>
      <c r="S15" s="1320">
        <v>11476</v>
      </c>
      <c r="T15" s="1320">
        <v>11263</v>
      </c>
      <c r="U15" s="1320">
        <v>11039</v>
      </c>
      <c r="V15" s="1320">
        <v>10611</v>
      </c>
      <c r="W15" s="1320">
        <v>0</v>
      </c>
      <c r="X15" s="1320">
        <v>0</v>
      </c>
      <c r="Y15" s="1320">
        <v>0</v>
      </c>
      <c r="Z15" s="1320">
        <v>0</v>
      </c>
      <c r="AA15" s="1320">
        <v>0</v>
      </c>
      <c r="AB15" s="1533">
        <v>0</v>
      </c>
      <c r="AC15" s="1532"/>
    </row>
    <row r="16" spans="1:29" ht="13.5" customHeight="1">
      <c r="A16" s="1334">
        <v>2</v>
      </c>
      <c r="B16" s="1333">
        <v>209</v>
      </c>
      <c r="C16" s="1534" t="s">
        <v>665</v>
      </c>
      <c r="D16" s="1331">
        <v>35.25</v>
      </c>
      <c r="E16" s="1321">
        <v>0</v>
      </c>
      <c r="F16" s="1320">
        <v>0</v>
      </c>
      <c r="G16" s="1320">
        <v>0</v>
      </c>
      <c r="H16" s="1320">
        <v>0</v>
      </c>
      <c r="I16" s="1320">
        <v>0</v>
      </c>
      <c r="J16" s="1320">
        <v>0</v>
      </c>
      <c r="K16" s="1320">
        <v>0</v>
      </c>
      <c r="L16" s="1320">
        <v>0</v>
      </c>
      <c r="M16" s="1320">
        <v>7429</v>
      </c>
      <c r="N16" s="1320">
        <v>7518</v>
      </c>
      <c r="O16" s="1320">
        <v>7593</v>
      </c>
      <c r="P16" s="1320">
        <v>7832</v>
      </c>
      <c r="Q16" s="1320">
        <v>7760</v>
      </c>
      <c r="R16" s="1320">
        <v>7620</v>
      </c>
      <c r="S16" s="1320">
        <v>7581</v>
      </c>
      <c r="T16" s="1320">
        <v>7470</v>
      </c>
      <c r="U16" s="1320">
        <v>7308</v>
      </c>
      <c r="V16" s="1320">
        <v>7074</v>
      </c>
      <c r="W16" s="1320">
        <v>0</v>
      </c>
      <c r="X16" s="1320">
        <v>0</v>
      </c>
      <c r="Y16" s="1320">
        <v>0</v>
      </c>
      <c r="Z16" s="1320">
        <v>0</v>
      </c>
      <c r="AA16" s="1320">
        <v>0</v>
      </c>
      <c r="AB16" s="1533">
        <v>0</v>
      </c>
      <c r="AC16" s="1532"/>
    </row>
    <row r="17" spans="1:29" ht="13.5" customHeight="1">
      <c r="A17" s="1334">
        <v>2</v>
      </c>
      <c r="B17" s="1333">
        <v>210</v>
      </c>
      <c r="C17" s="1534" t="s">
        <v>682</v>
      </c>
      <c r="D17" s="1331">
        <v>21</v>
      </c>
      <c r="E17" s="1321">
        <v>0</v>
      </c>
      <c r="F17" s="1320">
        <v>0</v>
      </c>
      <c r="G17" s="1320">
        <v>0</v>
      </c>
      <c r="H17" s="1320">
        <v>0</v>
      </c>
      <c r="I17" s="1320">
        <v>0</v>
      </c>
      <c r="J17" s="1320">
        <v>0</v>
      </c>
      <c r="K17" s="1320">
        <v>0</v>
      </c>
      <c r="L17" s="1320">
        <v>0</v>
      </c>
      <c r="M17" s="1320">
        <v>1604</v>
      </c>
      <c r="N17" s="1320">
        <v>1600</v>
      </c>
      <c r="O17" s="1320">
        <v>1640</v>
      </c>
      <c r="P17" s="1320">
        <v>1706</v>
      </c>
      <c r="Q17" s="1320">
        <v>1723</v>
      </c>
      <c r="R17" s="1320">
        <v>1729</v>
      </c>
      <c r="S17" s="1320">
        <v>1748</v>
      </c>
      <c r="T17" s="1320">
        <v>1757</v>
      </c>
      <c r="U17" s="1320">
        <v>1754</v>
      </c>
      <c r="V17" s="1320">
        <v>1701</v>
      </c>
      <c r="W17" s="1320">
        <v>0</v>
      </c>
      <c r="X17" s="1320">
        <v>0</v>
      </c>
      <c r="Y17" s="1320">
        <v>0</v>
      </c>
      <c r="Z17" s="1320">
        <v>0</v>
      </c>
      <c r="AA17" s="1320">
        <v>0</v>
      </c>
      <c r="AB17" s="1533">
        <v>0</v>
      </c>
      <c r="AC17" s="1532"/>
    </row>
    <row r="18" spans="1:29" ht="13.5" customHeight="1" thickBot="1">
      <c r="A18" s="1437">
        <v>2</v>
      </c>
      <c r="B18" s="1438">
        <v>211</v>
      </c>
      <c r="C18" s="1558" t="s">
        <v>703</v>
      </c>
      <c r="D18" s="1440">
        <v>37.35</v>
      </c>
      <c r="E18" s="1444">
        <v>0</v>
      </c>
      <c r="F18" s="1445">
        <v>0</v>
      </c>
      <c r="G18" s="1445">
        <v>0</v>
      </c>
      <c r="H18" s="1445">
        <v>0</v>
      </c>
      <c r="I18" s="1445">
        <v>0</v>
      </c>
      <c r="J18" s="1445">
        <v>0</v>
      </c>
      <c r="K18" s="1445">
        <v>0</v>
      </c>
      <c r="L18" s="1445">
        <v>0</v>
      </c>
      <c r="M18" s="1445">
        <v>3425</v>
      </c>
      <c r="N18" s="1445">
        <v>3380</v>
      </c>
      <c r="O18" s="1445">
        <v>3431</v>
      </c>
      <c r="P18" s="1445">
        <v>3440</v>
      </c>
      <c r="Q18" s="1445">
        <v>3449</v>
      </c>
      <c r="R18" s="1445">
        <v>3438</v>
      </c>
      <c r="S18" s="1445">
        <v>3388</v>
      </c>
      <c r="T18" s="1445">
        <v>3359</v>
      </c>
      <c r="U18" s="1445">
        <v>3284</v>
      </c>
      <c r="V18" s="1445">
        <v>3237</v>
      </c>
      <c r="W18" s="1445">
        <v>0</v>
      </c>
      <c r="X18" s="1445">
        <v>0</v>
      </c>
      <c r="Y18" s="1445">
        <v>0</v>
      </c>
      <c r="Z18" s="1445">
        <v>0</v>
      </c>
      <c r="AA18" s="1445">
        <v>0</v>
      </c>
      <c r="AB18" s="1559">
        <v>0</v>
      </c>
      <c r="AC18" s="1560"/>
    </row>
    <row r="19" spans="1:29" ht="13.5" customHeight="1" thickTop="1">
      <c r="A19" s="1580" t="s">
        <v>901</v>
      </c>
      <c r="B19" s="1581"/>
      <c r="C19" s="1582"/>
      <c r="D19" s="1576">
        <v>632.18000000000006</v>
      </c>
      <c r="E19" s="1577">
        <v>0</v>
      </c>
      <c r="F19" s="1578">
        <v>0</v>
      </c>
      <c r="G19" s="1578">
        <v>0</v>
      </c>
      <c r="H19" s="1578">
        <v>0</v>
      </c>
      <c r="I19" s="1578">
        <v>0</v>
      </c>
      <c r="J19" s="1578">
        <v>0</v>
      </c>
      <c r="K19" s="1578">
        <v>0</v>
      </c>
      <c r="L19" s="1578">
        <v>0</v>
      </c>
      <c r="M19" s="1578">
        <v>67723</v>
      </c>
      <c r="N19" s="1578">
        <v>68036</v>
      </c>
      <c r="O19" s="1578">
        <v>69273</v>
      </c>
      <c r="P19" s="1578">
        <v>70599</v>
      </c>
      <c r="Q19" s="1578">
        <v>69731</v>
      </c>
      <c r="R19" s="1578">
        <v>67766</v>
      </c>
      <c r="S19" s="1578">
        <v>67163</v>
      </c>
      <c r="T19" s="1578">
        <v>66020</v>
      </c>
      <c r="U19" s="1578">
        <v>64253</v>
      </c>
      <c r="V19" s="1578">
        <v>61972</v>
      </c>
      <c r="W19" s="1578">
        <v>0</v>
      </c>
      <c r="X19" s="1578">
        <v>0</v>
      </c>
      <c r="Y19" s="1578">
        <v>0</v>
      </c>
      <c r="Z19" s="1578">
        <v>0</v>
      </c>
      <c r="AA19" s="1578">
        <v>0</v>
      </c>
      <c r="AB19" s="1578">
        <v>0</v>
      </c>
      <c r="AC19" s="1579"/>
    </row>
    <row r="20" spans="1:29" ht="13.5" customHeight="1" thickBot="1">
      <c r="A20" s="1437"/>
      <c r="B20" s="1438"/>
      <c r="C20" s="1583"/>
      <c r="D20" s="1440"/>
      <c r="E20" s="1444"/>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559"/>
      <c r="AC20" s="1560"/>
    </row>
    <row r="21" spans="1:29" ht="13.5" customHeight="1" thickTop="1">
      <c r="A21" s="1588" t="s">
        <v>902</v>
      </c>
      <c r="B21" s="1589"/>
      <c r="C21" s="1589"/>
      <c r="D21" s="1584">
        <v>632.18000000000006</v>
      </c>
      <c r="E21" s="1585">
        <v>0</v>
      </c>
      <c r="F21" s="1586">
        <v>0</v>
      </c>
      <c r="G21" s="1586">
        <v>0</v>
      </c>
      <c r="H21" s="1586">
        <v>0</v>
      </c>
      <c r="I21" s="1586">
        <v>0</v>
      </c>
      <c r="J21" s="1586">
        <v>0</v>
      </c>
      <c r="K21" s="1586">
        <v>0</v>
      </c>
      <c r="L21" s="1586">
        <v>0</v>
      </c>
      <c r="M21" s="1586">
        <v>67723</v>
      </c>
      <c r="N21" s="1586">
        <v>68036</v>
      </c>
      <c r="O21" s="1586">
        <v>69273</v>
      </c>
      <c r="P21" s="1586">
        <v>70599</v>
      </c>
      <c r="Q21" s="1586">
        <v>69731</v>
      </c>
      <c r="R21" s="1586">
        <v>67766</v>
      </c>
      <c r="S21" s="1586">
        <v>67163</v>
      </c>
      <c r="T21" s="1586">
        <v>66020</v>
      </c>
      <c r="U21" s="1586">
        <v>64253</v>
      </c>
      <c r="V21" s="1586">
        <v>61972</v>
      </c>
      <c r="W21" s="1586">
        <v>0</v>
      </c>
      <c r="X21" s="1586">
        <v>0</v>
      </c>
      <c r="Y21" s="1586">
        <v>0</v>
      </c>
      <c r="Z21" s="1586">
        <v>0</v>
      </c>
      <c r="AA21" s="1586">
        <v>0</v>
      </c>
      <c r="AB21" s="1586">
        <v>0</v>
      </c>
      <c r="AC21" s="1587"/>
    </row>
    <row r="22" spans="1:29" ht="13.5" customHeight="1">
      <c r="A22" s="1437"/>
      <c r="B22" s="1438"/>
      <c r="C22" s="1583"/>
      <c r="D22" s="1440"/>
      <c r="E22" s="1444"/>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559"/>
      <c r="AC22" s="1560"/>
    </row>
    <row r="23" spans="1:29" ht="13.5" customHeight="1">
      <c r="A23" s="1573" t="s">
        <v>359</v>
      </c>
      <c r="B23" s="1562"/>
      <c r="C23" s="1562"/>
      <c r="D23" s="1562"/>
      <c r="E23" s="1562"/>
      <c r="F23" s="1562"/>
      <c r="G23" s="1562"/>
      <c r="H23" s="1562"/>
      <c r="I23" s="1562"/>
      <c r="J23" s="1562"/>
      <c r="K23" s="1562"/>
      <c r="L23" s="1562"/>
      <c r="M23" s="1562"/>
      <c r="N23" s="1562"/>
      <c r="O23" s="1562"/>
      <c r="P23" s="1562"/>
      <c r="Q23" s="1562"/>
      <c r="R23" s="1562"/>
      <c r="S23" s="1562"/>
      <c r="T23" s="1562"/>
      <c r="U23" s="1562"/>
      <c r="V23" s="1562"/>
      <c r="W23" s="1562"/>
      <c r="X23" s="1562"/>
      <c r="Y23" s="1562"/>
      <c r="Z23" s="1562"/>
      <c r="AA23" s="1562"/>
      <c r="AB23" s="1562"/>
      <c r="AC23" s="1563"/>
    </row>
    <row r="24" spans="1:29" ht="13.5" customHeight="1">
      <c r="A24" s="1570" t="s">
        <v>900</v>
      </c>
      <c r="B24" s="1571"/>
      <c r="C24" s="1572"/>
      <c r="D24" s="1565"/>
      <c r="E24" s="1566"/>
      <c r="F24" s="1567"/>
      <c r="G24" s="1567"/>
      <c r="H24" s="1567"/>
      <c r="I24" s="1567"/>
      <c r="J24" s="1567"/>
      <c r="K24" s="1567"/>
      <c r="L24" s="1567"/>
      <c r="M24" s="1567"/>
      <c r="N24" s="1567"/>
      <c r="O24" s="1567"/>
      <c r="P24" s="1567"/>
      <c r="Q24" s="1567"/>
      <c r="R24" s="1567"/>
      <c r="S24" s="1567"/>
      <c r="T24" s="1567"/>
      <c r="U24" s="1567"/>
      <c r="V24" s="1567"/>
      <c r="W24" s="1567"/>
      <c r="X24" s="1567"/>
      <c r="Y24" s="1567"/>
      <c r="Z24" s="1567"/>
      <c r="AA24" s="1567"/>
      <c r="AB24" s="1568"/>
      <c r="AC24" s="1569"/>
    </row>
    <row r="25" spans="1:29" ht="13.5" customHeight="1">
      <c r="A25" s="1334">
        <v>2</v>
      </c>
      <c r="B25" s="1333">
        <v>201</v>
      </c>
      <c r="C25" s="1556" t="s">
        <v>323</v>
      </c>
      <c r="D25" s="1331">
        <v>56.25</v>
      </c>
      <c r="E25" s="1321">
        <v>0</v>
      </c>
      <c r="F25" s="1320">
        <v>0</v>
      </c>
      <c r="G25" s="1320">
        <v>0</v>
      </c>
      <c r="H25" s="1320">
        <v>0</v>
      </c>
      <c r="I25" s="1320">
        <v>0</v>
      </c>
      <c r="J25" s="1320">
        <v>0</v>
      </c>
      <c r="K25" s="1320">
        <v>0</v>
      </c>
      <c r="L25" s="1320">
        <v>0</v>
      </c>
      <c r="M25" s="1320">
        <v>5235</v>
      </c>
      <c r="N25" s="1320">
        <v>5320</v>
      </c>
      <c r="O25" s="1320">
        <v>5515</v>
      </c>
      <c r="P25" s="1320">
        <v>5555</v>
      </c>
      <c r="Q25" s="1320">
        <v>5460</v>
      </c>
      <c r="R25" s="1320">
        <v>5139</v>
      </c>
      <c r="S25" s="1320">
        <v>5154</v>
      </c>
      <c r="T25" s="1320">
        <v>5130</v>
      </c>
      <c r="U25" s="1320">
        <v>5107</v>
      </c>
      <c r="V25" s="1320">
        <v>4988</v>
      </c>
      <c r="W25" s="1320">
        <v>0</v>
      </c>
      <c r="X25" s="1320">
        <v>0</v>
      </c>
      <c r="Y25" s="1320">
        <v>0</v>
      </c>
      <c r="Z25" s="1320">
        <v>0</v>
      </c>
      <c r="AA25" s="1320">
        <v>0</v>
      </c>
      <c r="AB25" s="1533">
        <v>0</v>
      </c>
      <c r="AC25" s="1532"/>
    </row>
    <row r="26" spans="1:29" ht="13.5" customHeight="1">
      <c r="A26" s="1334">
        <v>2</v>
      </c>
      <c r="B26" s="1333">
        <v>202</v>
      </c>
      <c r="C26" s="1534" t="s">
        <v>509</v>
      </c>
      <c r="D26" s="1331">
        <v>196.5</v>
      </c>
      <c r="E26" s="1321">
        <v>0</v>
      </c>
      <c r="F26" s="1320">
        <v>0</v>
      </c>
      <c r="G26" s="1320">
        <v>0</v>
      </c>
      <c r="H26" s="1320">
        <v>0</v>
      </c>
      <c r="I26" s="1320">
        <v>0</v>
      </c>
      <c r="J26" s="1320">
        <v>0</v>
      </c>
      <c r="K26" s="1320">
        <v>0</v>
      </c>
      <c r="L26" s="1320">
        <v>0</v>
      </c>
      <c r="M26" s="1320">
        <v>20237</v>
      </c>
      <c r="N26" s="1320">
        <v>20602</v>
      </c>
      <c r="O26" s="1320">
        <v>21303</v>
      </c>
      <c r="P26" s="1320">
        <v>21424</v>
      </c>
      <c r="Q26" s="1320">
        <v>21009</v>
      </c>
      <c r="R26" s="1320">
        <v>19657</v>
      </c>
      <c r="S26" s="1320">
        <v>19522</v>
      </c>
      <c r="T26" s="1320">
        <v>19198</v>
      </c>
      <c r="U26" s="1320">
        <v>18892</v>
      </c>
      <c r="V26" s="1320">
        <v>18231</v>
      </c>
      <c r="W26" s="1320">
        <v>0</v>
      </c>
      <c r="X26" s="1320">
        <v>0</v>
      </c>
      <c r="Y26" s="1320">
        <v>0</v>
      </c>
      <c r="Z26" s="1320">
        <v>0</v>
      </c>
      <c r="AA26" s="1320">
        <v>0</v>
      </c>
      <c r="AB26" s="1533">
        <v>0</v>
      </c>
      <c r="AC26" s="1532"/>
    </row>
    <row r="27" spans="1:29" ht="13.5" customHeight="1">
      <c r="A27" s="1334">
        <v>2</v>
      </c>
      <c r="B27" s="1333">
        <v>203</v>
      </c>
      <c r="C27" s="1534" t="s">
        <v>540</v>
      </c>
      <c r="D27" s="1331">
        <v>5.7</v>
      </c>
      <c r="E27" s="1321">
        <v>0</v>
      </c>
      <c r="F27" s="1320">
        <v>0</v>
      </c>
      <c r="G27" s="1320">
        <v>0</v>
      </c>
      <c r="H27" s="1320">
        <v>0</v>
      </c>
      <c r="I27" s="1320">
        <v>0</v>
      </c>
      <c r="J27" s="1320">
        <v>0</v>
      </c>
      <c r="K27" s="1320">
        <v>0</v>
      </c>
      <c r="L27" s="1320">
        <v>0</v>
      </c>
      <c r="M27" s="1320">
        <v>76</v>
      </c>
      <c r="N27" s="1320">
        <v>66</v>
      </c>
      <c r="O27" s="1320">
        <v>71</v>
      </c>
      <c r="P27" s="1320">
        <v>74</v>
      </c>
      <c r="Q27" s="1320">
        <v>74</v>
      </c>
      <c r="R27" s="1320">
        <v>69</v>
      </c>
      <c r="S27" s="1320">
        <v>65</v>
      </c>
      <c r="T27" s="1320">
        <v>60</v>
      </c>
      <c r="U27" s="1320">
        <v>55</v>
      </c>
      <c r="V27" s="1320">
        <v>47</v>
      </c>
      <c r="W27" s="1320">
        <v>0</v>
      </c>
      <c r="X27" s="1320">
        <v>0</v>
      </c>
      <c r="Y27" s="1320">
        <v>0</v>
      </c>
      <c r="Z27" s="1320">
        <v>0</v>
      </c>
      <c r="AA27" s="1320">
        <v>0</v>
      </c>
      <c r="AB27" s="1533">
        <v>0</v>
      </c>
      <c r="AC27" s="1532"/>
    </row>
    <row r="28" spans="1:29" ht="13.5" customHeight="1">
      <c r="A28" s="1334">
        <v>2</v>
      </c>
      <c r="B28" s="1333">
        <v>204</v>
      </c>
      <c r="C28" s="1534" t="s">
        <v>563</v>
      </c>
      <c r="D28" s="1331">
        <v>16.53</v>
      </c>
      <c r="E28" s="1321">
        <v>0</v>
      </c>
      <c r="F28" s="1320">
        <v>0</v>
      </c>
      <c r="G28" s="1320">
        <v>0</v>
      </c>
      <c r="H28" s="1320">
        <v>0</v>
      </c>
      <c r="I28" s="1320">
        <v>0</v>
      </c>
      <c r="J28" s="1320">
        <v>0</v>
      </c>
      <c r="K28" s="1320">
        <v>0</v>
      </c>
      <c r="L28" s="1320">
        <v>0</v>
      </c>
      <c r="M28" s="1320">
        <v>1276</v>
      </c>
      <c r="N28" s="1320">
        <v>1312</v>
      </c>
      <c r="O28" s="1320">
        <v>1375</v>
      </c>
      <c r="P28" s="1320">
        <v>1386</v>
      </c>
      <c r="Q28" s="1320">
        <v>1347</v>
      </c>
      <c r="R28" s="1320">
        <v>1233</v>
      </c>
      <c r="S28" s="1320">
        <v>1222</v>
      </c>
      <c r="T28" s="1320">
        <v>1194</v>
      </c>
      <c r="U28" s="1320">
        <v>1168</v>
      </c>
      <c r="V28" s="1320">
        <v>1108</v>
      </c>
      <c r="W28" s="1320">
        <v>0</v>
      </c>
      <c r="X28" s="1320">
        <v>0</v>
      </c>
      <c r="Y28" s="1320">
        <v>0</v>
      </c>
      <c r="Z28" s="1320">
        <v>0</v>
      </c>
      <c r="AA28" s="1320">
        <v>0</v>
      </c>
      <c r="AB28" s="1533">
        <v>0</v>
      </c>
      <c r="AC28" s="1532"/>
    </row>
    <row r="29" spans="1:29" ht="13.5" customHeight="1">
      <c r="A29" s="1334">
        <v>2</v>
      </c>
      <c r="B29" s="1333">
        <v>205</v>
      </c>
      <c r="C29" s="1534" t="s">
        <v>588</v>
      </c>
      <c r="D29" s="1331">
        <v>17.600000000000001</v>
      </c>
      <c r="E29" s="1321">
        <v>0</v>
      </c>
      <c r="F29" s="1320">
        <v>0</v>
      </c>
      <c r="G29" s="1320">
        <v>0</v>
      </c>
      <c r="H29" s="1320">
        <v>0</v>
      </c>
      <c r="I29" s="1320">
        <v>0</v>
      </c>
      <c r="J29" s="1320">
        <v>0</v>
      </c>
      <c r="K29" s="1320">
        <v>0</v>
      </c>
      <c r="L29" s="1320">
        <v>0</v>
      </c>
      <c r="M29" s="1320">
        <v>1436</v>
      </c>
      <c r="N29" s="1320">
        <v>1487</v>
      </c>
      <c r="O29" s="1320">
        <v>1558</v>
      </c>
      <c r="P29" s="1320">
        <v>1560</v>
      </c>
      <c r="Q29" s="1320">
        <v>1489</v>
      </c>
      <c r="R29" s="1320">
        <v>1321</v>
      </c>
      <c r="S29" s="1320">
        <v>1308</v>
      </c>
      <c r="T29" s="1320">
        <v>1276</v>
      </c>
      <c r="U29" s="1320">
        <v>1240</v>
      </c>
      <c r="V29" s="1320">
        <v>1171</v>
      </c>
      <c r="W29" s="1320">
        <v>0</v>
      </c>
      <c r="X29" s="1320">
        <v>0</v>
      </c>
      <c r="Y29" s="1320">
        <v>0</v>
      </c>
      <c r="Z29" s="1320">
        <v>0</v>
      </c>
      <c r="AA29" s="1320">
        <v>0</v>
      </c>
      <c r="AB29" s="1533">
        <v>0</v>
      </c>
      <c r="AC29" s="1532"/>
    </row>
    <row r="30" spans="1:29" ht="13.5" customHeight="1">
      <c r="A30" s="1334">
        <v>2</v>
      </c>
      <c r="B30" s="1333">
        <v>206</v>
      </c>
      <c r="C30" s="1534" t="s">
        <v>612</v>
      </c>
      <c r="D30" s="1331">
        <v>30</v>
      </c>
      <c r="E30" s="1321">
        <v>0</v>
      </c>
      <c r="F30" s="1320">
        <v>0</v>
      </c>
      <c r="G30" s="1320">
        <v>0</v>
      </c>
      <c r="H30" s="1320">
        <v>0</v>
      </c>
      <c r="I30" s="1320">
        <v>0</v>
      </c>
      <c r="J30" s="1320">
        <v>0</v>
      </c>
      <c r="K30" s="1320">
        <v>0</v>
      </c>
      <c r="L30" s="1320">
        <v>0</v>
      </c>
      <c r="M30" s="1320">
        <v>1994</v>
      </c>
      <c r="N30" s="1320">
        <v>2075</v>
      </c>
      <c r="O30" s="1320">
        <v>2188</v>
      </c>
      <c r="P30" s="1320">
        <v>2207</v>
      </c>
      <c r="Q30" s="1320">
        <v>2139</v>
      </c>
      <c r="R30" s="1320">
        <v>1968</v>
      </c>
      <c r="S30" s="1320">
        <v>1943</v>
      </c>
      <c r="T30" s="1320">
        <v>1892</v>
      </c>
      <c r="U30" s="1320">
        <v>1834</v>
      </c>
      <c r="V30" s="1320">
        <v>1752</v>
      </c>
      <c r="W30" s="1320">
        <v>0</v>
      </c>
      <c r="X30" s="1320">
        <v>0</v>
      </c>
      <c r="Y30" s="1320">
        <v>0</v>
      </c>
      <c r="Z30" s="1320">
        <v>0</v>
      </c>
      <c r="AA30" s="1320">
        <v>0</v>
      </c>
      <c r="AB30" s="1533">
        <v>0</v>
      </c>
      <c r="AC30" s="1532"/>
    </row>
    <row r="31" spans="1:29" ht="13.5" customHeight="1">
      <c r="A31" s="1334">
        <v>2</v>
      </c>
      <c r="B31" s="1333">
        <v>207</v>
      </c>
      <c r="C31" s="1534" t="s">
        <v>634</v>
      </c>
      <c r="D31" s="1331">
        <v>108</v>
      </c>
      <c r="E31" s="1321">
        <v>0</v>
      </c>
      <c r="F31" s="1320">
        <v>0</v>
      </c>
      <c r="G31" s="1320">
        <v>0</v>
      </c>
      <c r="H31" s="1320">
        <v>0</v>
      </c>
      <c r="I31" s="1320">
        <v>0</v>
      </c>
      <c r="J31" s="1320">
        <v>0</v>
      </c>
      <c r="K31" s="1320">
        <v>0</v>
      </c>
      <c r="L31" s="1320">
        <v>0</v>
      </c>
      <c r="M31" s="1320">
        <v>10616</v>
      </c>
      <c r="N31" s="1320">
        <v>10476</v>
      </c>
      <c r="O31" s="1320">
        <v>10674</v>
      </c>
      <c r="P31" s="1320">
        <v>10787</v>
      </c>
      <c r="Q31" s="1320">
        <v>10893</v>
      </c>
      <c r="R31" s="1320">
        <v>10742</v>
      </c>
      <c r="S31" s="1320">
        <v>10650</v>
      </c>
      <c r="T31" s="1320">
        <v>10464</v>
      </c>
      <c r="U31" s="1320">
        <v>10674</v>
      </c>
      <c r="V31" s="1320">
        <v>10380</v>
      </c>
      <c r="W31" s="1320">
        <v>0</v>
      </c>
      <c r="X31" s="1320">
        <v>0</v>
      </c>
      <c r="Y31" s="1320">
        <v>0</v>
      </c>
      <c r="Z31" s="1320">
        <v>0</v>
      </c>
      <c r="AA31" s="1320">
        <v>0</v>
      </c>
      <c r="AB31" s="1533">
        <v>0</v>
      </c>
      <c r="AC31" s="1532"/>
    </row>
    <row r="32" spans="1:29" ht="13.5" customHeight="1">
      <c r="A32" s="1334">
        <v>2</v>
      </c>
      <c r="B32" s="1333">
        <v>208</v>
      </c>
      <c r="C32" s="1534" t="s">
        <v>649</v>
      </c>
      <c r="D32" s="1331">
        <v>108</v>
      </c>
      <c r="E32" s="1321">
        <v>0</v>
      </c>
      <c r="F32" s="1320">
        <v>0</v>
      </c>
      <c r="G32" s="1320">
        <v>0</v>
      </c>
      <c r="H32" s="1320">
        <v>0</v>
      </c>
      <c r="I32" s="1320">
        <v>0</v>
      </c>
      <c r="J32" s="1320">
        <v>0</v>
      </c>
      <c r="K32" s="1320">
        <v>0</v>
      </c>
      <c r="L32" s="1320">
        <v>0</v>
      </c>
      <c r="M32" s="1320">
        <v>10560</v>
      </c>
      <c r="N32" s="1320">
        <v>10402</v>
      </c>
      <c r="O32" s="1320">
        <v>10581</v>
      </c>
      <c r="P32" s="1320">
        <v>10688</v>
      </c>
      <c r="Q32" s="1320">
        <v>10788</v>
      </c>
      <c r="R32" s="1320">
        <v>10643</v>
      </c>
      <c r="S32" s="1320">
        <v>10558</v>
      </c>
      <c r="T32" s="1320">
        <v>10384</v>
      </c>
      <c r="U32" s="1320">
        <v>10599</v>
      </c>
      <c r="V32" s="1320">
        <v>10324</v>
      </c>
      <c r="W32" s="1320">
        <v>0</v>
      </c>
      <c r="X32" s="1320">
        <v>0</v>
      </c>
      <c r="Y32" s="1320">
        <v>0</v>
      </c>
      <c r="Z32" s="1320">
        <v>0</v>
      </c>
      <c r="AA32" s="1320">
        <v>0</v>
      </c>
      <c r="AB32" s="1533">
        <v>0</v>
      </c>
      <c r="AC32" s="1532"/>
    </row>
    <row r="33" spans="1:29" ht="13.5" customHeight="1">
      <c r="A33" s="1334">
        <v>2</v>
      </c>
      <c r="B33" s="1333">
        <v>209</v>
      </c>
      <c r="C33" s="1534" t="s">
        <v>665</v>
      </c>
      <c r="D33" s="1331">
        <v>35.25</v>
      </c>
      <c r="E33" s="1321">
        <v>0</v>
      </c>
      <c r="F33" s="1320">
        <v>0</v>
      </c>
      <c r="G33" s="1320">
        <v>0</v>
      </c>
      <c r="H33" s="1320">
        <v>0</v>
      </c>
      <c r="I33" s="1320">
        <v>0</v>
      </c>
      <c r="J33" s="1320">
        <v>0</v>
      </c>
      <c r="K33" s="1320">
        <v>0</v>
      </c>
      <c r="L33" s="1320">
        <v>0</v>
      </c>
      <c r="M33" s="1320">
        <v>6449</v>
      </c>
      <c r="N33" s="1320">
        <v>6501</v>
      </c>
      <c r="O33" s="1320">
        <v>6675</v>
      </c>
      <c r="P33" s="1320">
        <v>6798</v>
      </c>
      <c r="Q33" s="1320">
        <v>6884</v>
      </c>
      <c r="R33" s="1320">
        <v>6746</v>
      </c>
      <c r="S33" s="1320">
        <v>6691</v>
      </c>
      <c r="T33" s="1320">
        <v>6607</v>
      </c>
      <c r="U33" s="1320">
        <v>6682</v>
      </c>
      <c r="V33" s="1320">
        <v>6500</v>
      </c>
      <c r="W33" s="1320">
        <v>0</v>
      </c>
      <c r="X33" s="1320">
        <v>0</v>
      </c>
      <c r="Y33" s="1320">
        <v>0</v>
      </c>
      <c r="Z33" s="1320">
        <v>0</v>
      </c>
      <c r="AA33" s="1320">
        <v>0</v>
      </c>
      <c r="AB33" s="1533">
        <v>0</v>
      </c>
      <c r="AC33" s="1532"/>
    </row>
    <row r="34" spans="1:29" ht="13.5" customHeight="1">
      <c r="A34" s="1334">
        <v>2</v>
      </c>
      <c r="B34" s="1333">
        <v>210</v>
      </c>
      <c r="C34" s="1534" t="s">
        <v>682</v>
      </c>
      <c r="D34" s="1331">
        <v>21</v>
      </c>
      <c r="E34" s="1321">
        <v>0</v>
      </c>
      <c r="F34" s="1320">
        <v>0</v>
      </c>
      <c r="G34" s="1320">
        <v>0</v>
      </c>
      <c r="H34" s="1320">
        <v>0</v>
      </c>
      <c r="I34" s="1320">
        <v>0</v>
      </c>
      <c r="J34" s="1320">
        <v>0</v>
      </c>
      <c r="K34" s="1320">
        <v>0</v>
      </c>
      <c r="L34" s="1320">
        <v>0</v>
      </c>
      <c r="M34" s="1320">
        <v>1415</v>
      </c>
      <c r="N34" s="1320">
        <v>1394</v>
      </c>
      <c r="O34" s="1320">
        <v>1447</v>
      </c>
      <c r="P34" s="1320">
        <v>1486</v>
      </c>
      <c r="Q34" s="1320">
        <v>1527</v>
      </c>
      <c r="R34" s="1320">
        <v>1538</v>
      </c>
      <c r="S34" s="1320">
        <v>1568</v>
      </c>
      <c r="T34" s="1320">
        <v>1602</v>
      </c>
      <c r="U34" s="1320">
        <v>1696</v>
      </c>
      <c r="V34" s="1320">
        <v>1699</v>
      </c>
      <c r="W34" s="1320">
        <v>0</v>
      </c>
      <c r="X34" s="1320">
        <v>0</v>
      </c>
      <c r="Y34" s="1320">
        <v>0</v>
      </c>
      <c r="Z34" s="1320">
        <v>0</v>
      </c>
      <c r="AA34" s="1320">
        <v>0</v>
      </c>
      <c r="AB34" s="1533">
        <v>0</v>
      </c>
      <c r="AC34" s="1532"/>
    </row>
    <row r="35" spans="1:29" ht="13.5" customHeight="1" thickBot="1">
      <c r="A35" s="1437">
        <v>2</v>
      </c>
      <c r="B35" s="1438">
        <v>211</v>
      </c>
      <c r="C35" s="1558" t="s">
        <v>703</v>
      </c>
      <c r="D35" s="1440">
        <v>37.35</v>
      </c>
      <c r="E35" s="1444">
        <v>0</v>
      </c>
      <c r="F35" s="1445">
        <v>0</v>
      </c>
      <c r="G35" s="1445">
        <v>0</v>
      </c>
      <c r="H35" s="1445">
        <v>0</v>
      </c>
      <c r="I35" s="1445">
        <v>0</v>
      </c>
      <c r="J35" s="1445">
        <v>0</v>
      </c>
      <c r="K35" s="1445">
        <v>0</v>
      </c>
      <c r="L35" s="1445">
        <v>0</v>
      </c>
      <c r="M35" s="1445">
        <v>3404</v>
      </c>
      <c r="N35" s="1445">
        <v>3359</v>
      </c>
      <c r="O35" s="1445">
        <v>3410</v>
      </c>
      <c r="P35" s="1445">
        <v>3419</v>
      </c>
      <c r="Q35" s="1445">
        <v>3428</v>
      </c>
      <c r="R35" s="1445">
        <v>3396</v>
      </c>
      <c r="S35" s="1445">
        <v>3367</v>
      </c>
      <c r="T35" s="1445">
        <v>3317</v>
      </c>
      <c r="U35" s="1445">
        <v>3284</v>
      </c>
      <c r="V35" s="1445">
        <v>3216</v>
      </c>
      <c r="W35" s="1445">
        <v>0</v>
      </c>
      <c r="X35" s="1445">
        <v>0</v>
      </c>
      <c r="Y35" s="1445">
        <v>0</v>
      </c>
      <c r="Z35" s="1445">
        <v>0</v>
      </c>
      <c r="AA35" s="1445">
        <v>0</v>
      </c>
      <c r="AB35" s="1559">
        <v>0</v>
      </c>
      <c r="AC35" s="1560"/>
    </row>
    <row r="36" spans="1:29" ht="13.5" customHeight="1" thickTop="1">
      <c r="A36" s="1580" t="s">
        <v>901</v>
      </c>
      <c r="B36" s="1581"/>
      <c r="C36" s="1582"/>
      <c r="D36" s="1576">
        <v>632.18000000000006</v>
      </c>
      <c r="E36" s="1577">
        <v>0</v>
      </c>
      <c r="F36" s="1578">
        <v>0</v>
      </c>
      <c r="G36" s="1578">
        <v>0</v>
      </c>
      <c r="H36" s="1578">
        <v>0</v>
      </c>
      <c r="I36" s="1578">
        <v>0</v>
      </c>
      <c r="J36" s="1578">
        <v>0</v>
      </c>
      <c r="K36" s="1578">
        <v>0</v>
      </c>
      <c r="L36" s="1578">
        <v>0</v>
      </c>
      <c r="M36" s="1578">
        <v>62698</v>
      </c>
      <c r="N36" s="1578">
        <v>62994</v>
      </c>
      <c r="O36" s="1578">
        <v>64797</v>
      </c>
      <c r="P36" s="1578">
        <v>65384</v>
      </c>
      <c r="Q36" s="1578">
        <v>65038</v>
      </c>
      <c r="R36" s="1578">
        <v>62452</v>
      </c>
      <c r="S36" s="1578">
        <v>62048</v>
      </c>
      <c r="T36" s="1578">
        <v>61124</v>
      </c>
      <c r="U36" s="1578">
        <v>61231</v>
      </c>
      <c r="V36" s="1578">
        <v>59416</v>
      </c>
      <c r="W36" s="1578">
        <v>0</v>
      </c>
      <c r="X36" s="1578">
        <v>0</v>
      </c>
      <c r="Y36" s="1578">
        <v>0</v>
      </c>
      <c r="Z36" s="1578">
        <v>0</v>
      </c>
      <c r="AA36" s="1578">
        <v>0</v>
      </c>
      <c r="AB36" s="1578">
        <v>0</v>
      </c>
      <c r="AC36" s="1579"/>
    </row>
    <row r="37" spans="1:29" ht="13.5" customHeight="1" thickBot="1">
      <c r="A37" s="1437"/>
      <c r="B37" s="1438"/>
      <c r="C37" s="1583"/>
      <c r="D37" s="1440"/>
      <c r="E37" s="1444"/>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559"/>
      <c r="AC37" s="1560"/>
    </row>
    <row r="38" spans="1:29" ht="13.5" customHeight="1" thickTop="1">
      <c r="A38" s="1594" t="s">
        <v>903</v>
      </c>
      <c r="B38" s="1595"/>
      <c r="C38" s="1595"/>
      <c r="D38" s="1590">
        <v>632.18000000000006</v>
      </c>
      <c r="E38" s="1591">
        <v>0</v>
      </c>
      <c r="F38" s="1592">
        <v>0</v>
      </c>
      <c r="G38" s="1592">
        <v>0</v>
      </c>
      <c r="H38" s="1592">
        <v>0</v>
      </c>
      <c r="I38" s="1592">
        <v>0</v>
      </c>
      <c r="J38" s="1592">
        <v>0</v>
      </c>
      <c r="K38" s="1592">
        <v>0</v>
      </c>
      <c r="L38" s="1592">
        <v>0</v>
      </c>
      <c r="M38" s="1592">
        <v>62698</v>
      </c>
      <c r="N38" s="1592">
        <v>62994</v>
      </c>
      <c r="O38" s="1592">
        <v>64797</v>
      </c>
      <c r="P38" s="1592">
        <v>65384</v>
      </c>
      <c r="Q38" s="1592">
        <v>65038</v>
      </c>
      <c r="R38" s="1592">
        <v>62452</v>
      </c>
      <c r="S38" s="1592">
        <v>62048</v>
      </c>
      <c r="T38" s="1592">
        <v>61124</v>
      </c>
      <c r="U38" s="1592">
        <v>61231</v>
      </c>
      <c r="V38" s="1592">
        <v>59416</v>
      </c>
      <c r="W38" s="1592">
        <v>0</v>
      </c>
      <c r="X38" s="1592">
        <v>0</v>
      </c>
      <c r="Y38" s="1592">
        <v>0</v>
      </c>
      <c r="Z38" s="1592">
        <v>0</v>
      </c>
      <c r="AA38" s="1592">
        <v>0</v>
      </c>
      <c r="AB38" s="1592">
        <v>0</v>
      </c>
      <c r="AC38" s="1593"/>
    </row>
    <row r="39" spans="1:29" ht="13.5" customHeight="1">
      <c r="A39" s="1437"/>
      <c r="B39" s="1438"/>
      <c r="C39" s="1583"/>
      <c r="D39" s="1440"/>
      <c r="E39" s="1444"/>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559"/>
      <c r="AC39" s="1560"/>
    </row>
    <row r="40" spans="1:29" ht="13.5" customHeight="1">
      <c r="A40" s="1574" t="s">
        <v>361</v>
      </c>
      <c r="B40" s="1562"/>
      <c r="C40" s="1562"/>
      <c r="D40" s="1562"/>
      <c r="E40" s="1562"/>
      <c r="F40" s="1562"/>
      <c r="G40" s="1562"/>
      <c r="H40" s="1562"/>
      <c r="I40" s="1562"/>
      <c r="J40" s="1562"/>
      <c r="K40" s="1562"/>
      <c r="L40" s="1562"/>
      <c r="M40" s="1562"/>
      <c r="N40" s="1562"/>
      <c r="O40" s="1562"/>
      <c r="P40" s="1562"/>
      <c r="Q40" s="1562"/>
      <c r="R40" s="1562"/>
      <c r="S40" s="1562"/>
      <c r="T40" s="1562"/>
      <c r="U40" s="1562"/>
      <c r="V40" s="1562"/>
      <c r="W40" s="1562"/>
      <c r="X40" s="1562"/>
      <c r="Y40" s="1562"/>
      <c r="Z40" s="1562"/>
      <c r="AA40" s="1562"/>
      <c r="AB40" s="1562"/>
      <c r="AC40" s="1563"/>
    </row>
    <row r="41" spans="1:29" ht="13.5" customHeight="1">
      <c r="A41" s="1570" t="s">
        <v>900</v>
      </c>
      <c r="B41" s="1571"/>
      <c r="C41" s="1572"/>
      <c r="D41" s="1565"/>
      <c r="E41" s="1566"/>
      <c r="F41" s="1567"/>
      <c r="G41" s="1567"/>
      <c r="H41" s="1567"/>
      <c r="I41" s="1567"/>
      <c r="J41" s="1567"/>
      <c r="K41" s="1567"/>
      <c r="L41" s="1567"/>
      <c r="M41" s="1567"/>
      <c r="N41" s="1567"/>
      <c r="O41" s="1567"/>
      <c r="P41" s="1567"/>
      <c r="Q41" s="1567"/>
      <c r="R41" s="1567"/>
      <c r="S41" s="1567"/>
      <c r="T41" s="1567"/>
      <c r="U41" s="1567"/>
      <c r="V41" s="1567"/>
      <c r="W41" s="1567"/>
      <c r="X41" s="1567"/>
      <c r="Y41" s="1567"/>
      <c r="Z41" s="1567"/>
      <c r="AA41" s="1567"/>
      <c r="AB41" s="1568"/>
      <c r="AC41" s="1569"/>
    </row>
    <row r="42" spans="1:29" ht="13.5" customHeight="1">
      <c r="A42" s="1334">
        <v>2</v>
      </c>
      <c r="B42" s="1333">
        <v>201</v>
      </c>
      <c r="C42" s="1556" t="s">
        <v>323</v>
      </c>
      <c r="D42" s="1331">
        <v>56.25</v>
      </c>
      <c r="E42" s="1321">
        <v>0</v>
      </c>
      <c r="F42" s="1320">
        <v>0</v>
      </c>
      <c r="G42" s="1320">
        <v>0</v>
      </c>
      <c r="H42" s="1320">
        <v>0</v>
      </c>
      <c r="I42" s="1320">
        <v>0</v>
      </c>
      <c r="J42" s="1320">
        <v>0</v>
      </c>
      <c r="K42" s="1320">
        <v>0</v>
      </c>
      <c r="L42" s="1320">
        <v>0</v>
      </c>
      <c r="M42" s="1320">
        <v>5097</v>
      </c>
      <c r="N42" s="1320">
        <v>5266</v>
      </c>
      <c r="O42" s="1320">
        <v>5431</v>
      </c>
      <c r="P42" s="1320">
        <v>5450</v>
      </c>
      <c r="Q42" s="1320">
        <v>5259</v>
      </c>
      <c r="R42" s="1320">
        <v>4940</v>
      </c>
      <c r="S42" s="1320">
        <v>4618</v>
      </c>
      <c r="T42" s="1320">
        <v>4430</v>
      </c>
      <c r="U42" s="1320">
        <v>4316</v>
      </c>
      <c r="V42" s="1320">
        <v>4256</v>
      </c>
      <c r="W42" s="1320">
        <v>0</v>
      </c>
      <c r="X42" s="1320">
        <v>0</v>
      </c>
      <c r="Y42" s="1320">
        <v>0</v>
      </c>
      <c r="Z42" s="1320">
        <v>0</v>
      </c>
      <c r="AA42" s="1320">
        <v>0</v>
      </c>
      <c r="AB42" s="1533">
        <v>0</v>
      </c>
      <c r="AC42" s="1532"/>
    </row>
    <row r="43" spans="1:29" ht="13.5" customHeight="1">
      <c r="A43" s="1334">
        <v>2</v>
      </c>
      <c r="B43" s="1333">
        <v>202</v>
      </c>
      <c r="C43" s="1534" t="s">
        <v>509</v>
      </c>
      <c r="D43" s="1331">
        <v>196.5</v>
      </c>
      <c r="E43" s="1321">
        <v>0</v>
      </c>
      <c r="F43" s="1320">
        <v>0</v>
      </c>
      <c r="G43" s="1320">
        <v>0</v>
      </c>
      <c r="H43" s="1320">
        <v>0</v>
      </c>
      <c r="I43" s="1320">
        <v>0</v>
      </c>
      <c r="J43" s="1320">
        <v>0</v>
      </c>
      <c r="K43" s="1320">
        <v>0</v>
      </c>
      <c r="L43" s="1320">
        <v>0</v>
      </c>
      <c r="M43" s="1320">
        <v>19255</v>
      </c>
      <c r="N43" s="1320">
        <v>19973</v>
      </c>
      <c r="O43" s="1320">
        <v>20583</v>
      </c>
      <c r="P43" s="1320">
        <v>20603</v>
      </c>
      <c r="Q43" s="1320">
        <v>19775</v>
      </c>
      <c r="R43" s="1320">
        <v>18418</v>
      </c>
      <c r="S43" s="1320">
        <v>17009</v>
      </c>
      <c r="T43" s="1320">
        <v>16087</v>
      </c>
      <c r="U43" s="1320">
        <v>15427</v>
      </c>
      <c r="V43" s="1320">
        <v>15118</v>
      </c>
      <c r="W43" s="1320">
        <v>0</v>
      </c>
      <c r="X43" s="1320">
        <v>0</v>
      </c>
      <c r="Y43" s="1320">
        <v>0</v>
      </c>
      <c r="Z43" s="1320">
        <v>0</v>
      </c>
      <c r="AA43" s="1320">
        <v>0</v>
      </c>
      <c r="AB43" s="1533">
        <v>0</v>
      </c>
      <c r="AC43" s="1532"/>
    </row>
    <row r="44" spans="1:29" ht="13.5" customHeight="1">
      <c r="A44" s="1334">
        <v>2</v>
      </c>
      <c r="B44" s="1333">
        <v>203</v>
      </c>
      <c r="C44" s="1534" t="s">
        <v>540</v>
      </c>
      <c r="D44" s="1331">
        <v>5.7</v>
      </c>
      <c r="E44" s="1321">
        <v>0</v>
      </c>
      <c r="F44" s="1320">
        <v>0</v>
      </c>
      <c r="G44" s="1320">
        <v>0</v>
      </c>
      <c r="H44" s="1320">
        <v>0</v>
      </c>
      <c r="I44" s="1320">
        <v>0</v>
      </c>
      <c r="J44" s="1320">
        <v>0</v>
      </c>
      <c r="K44" s="1320">
        <v>0</v>
      </c>
      <c r="L44" s="1320">
        <v>0</v>
      </c>
      <c r="M44" s="1320">
        <v>59</v>
      </c>
      <c r="N44" s="1320">
        <v>51</v>
      </c>
      <c r="O44" s="1320">
        <v>57</v>
      </c>
      <c r="P44" s="1320">
        <v>61</v>
      </c>
      <c r="Q44" s="1320">
        <v>59</v>
      </c>
      <c r="R44" s="1320">
        <v>54</v>
      </c>
      <c r="S44" s="1320">
        <v>50</v>
      </c>
      <c r="T44" s="1320">
        <v>47</v>
      </c>
      <c r="U44" s="1320">
        <v>38</v>
      </c>
      <c r="V44" s="1320">
        <v>30</v>
      </c>
      <c r="W44" s="1320">
        <v>0</v>
      </c>
      <c r="X44" s="1320">
        <v>0</v>
      </c>
      <c r="Y44" s="1320">
        <v>0</v>
      </c>
      <c r="Z44" s="1320">
        <v>0</v>
      </c>
      <c r="AA44" s="1320">
        <v>0</v>
      </c>
      <c r="AB44" s="1533">
        <v>0</v>
      </c>
      <c r="AC44" s="1532"/>
    </row>
    <row r="45" spans="1:29" ht="13.5" customHeight="1">
      <c r="A45" s="1334">
        <v>2</v>
      </c>
      <c r="B45" s="1333">
        <v>204</v>
      </c>
      <c r="C45" s="1534" t="s">
        <v>563</v>
      </c>
      <c r="D45" s="1331">
        <v>16.53</v>
      </c>
      <c r="E45" s="1321">
        <v>0</v>
      </c>
      <c r="F45" s="1320">
        <v>0</v>
      </c>
      <c r="G45" s="1320">
        <v>0</v>
      </c>
      <c r="H45" s="1320">
        <v>0</v>
      </c>
      <c r="I45" s="1320">
        <v>0</v>
      </c>
      <c r="J45" s="1320">
        <v>0</v>
      </c>
      <c r="K45" s="1320">
        <v>0</v>
      </c>
      <c r="L45" s="1320">
        <v>0</v>
      </c>
      <c r="M45" s="1320">
        <v>1238</v>
      </c>
      <c r="N45" s="1320">
        <v>1306</v>
      </c>
      <c r="O45" s="1320">
        <v>1365</v>
      </c>
      <c r="P45" s="1320">
        <v>1372</v>
      </c>
      <c r="Q45" s="1320">
        <v>1300</v>
      </c>
      <c r="R45" s="1320">
        <v>1186</v>
      </c>
      <c r="S45" s="1320">
        <v>1058</v>
      </c>
      <c r="T45" s="1320">
        <v>975</v>
      </c>
      <c r="U45" s="1320">
        <v>918</v>
      </c>
      <c r="V45" s="1320">
        <v>883</v>
      </c>
      <c r="W45" s="1320">
        <v>0</v>
      </c>
      <c r="X45" s="1320">
        <v>0</v>
      </c>
      <c r="Y45" s="1320">
        <v>0</v>
      </c>
      <c r="Z45" s="1320">
        <v>0</v>
      </c>
      <c r="AA45" s="1320">
        <v>0</v>
      </c>
      <c r="AB45" s="1533">
        <v>0</v>
      </c>
      <c r="AC45" s="1532"/>
    </row>
    <row r="46" spans="1:29" ht="13.5" customHeight="1">
      <c r="A46" s="1334">
        <v>2</v>
      </c>
      <c r="B46" s="1333">
        <v>205</v>
      </c>
      <c r="C46" s="1534" t="s">
        <v>588</v>
      </c>
      <c r="D46" s="1331">
        <v>17.600000000000001</v>
      </c>
      <c r="E46" s="1321">
        <v>0</v>
      </c>
      <c r="F46" s="1320">
        <v>0</v>
      </c>
      <c r="G46" s="1320">
        <v>0</v>
      </c>
      <c r="H46" s="1320">
        <v>0</v>
      </c>
      <c r="I46" s="1320">
        <v>0</v>
      </c>
      <c r="J46" s="1320">
        <v>0</v>
      </c>
      <c r="K46" s="1320">
        <v>0</v>
      </c>
      <c r="L46" s="1320">
        <v>0</v>
      </c>
      <c r="M46" s="1320">
        <v>1500</v>
      </c>
      <c r="N46" s="1320">
        <v>1591</v>
      </c>
      <c r="O46" s="1320">
        <v>1663</v>
      </c>
      <c r="P46" s="1320">
        <v>1652</v>
      </c>
      <c r="Q46" s="1320">
        <v>1540</v>
      </c>
      <c r="R46" s="1320">
        <v>1367</v>
      </c>
      <c r="S46" s="1320">
        <v>1176</v>
      </c>
      <c r="T46" s="1320">
        <v>1053</v>
      </c>
      <c r="U46" s="1320">
        <v>985</v>
      </c>
      <c r="V46" s="1320">
        <v>941</v>
      </c>
      <c r="W46" s="1320">
        <v>0</v>
      </c>
      <c r="X46" s="1320">
        <v>0</v>
      </c>
      <c r="Y46" s="1320">
        <v>0</v>
      </c>
      <c r="Z46" s="1320">
        <v>0</v>
      </c>
      <c r="AA46" s="1320">
        <v>0</v>
      </c>
      <c r="AB46" s="1533">
        <v>0</v>
      </c>
      <c r="AC46" s="1532"/>
    </row>
    <row r="47" spans="1:29" ht="13.5" customHeight="1">
      <c r="A47" s="1334">
        <v>2</v>
      </c>
      <c r="B47" s="1333">
        <v>206</v>
      </c>
      <c r="C47" s="1534" t="s">
        <v>612</v>
      </c>
      <c r="D47" s="1331">
        <v>30</v>
      </c>
      <c r="E47" s="1321">
        <v>0</v>
      </c>
      <c r="F47" s="1320">
        <v>0</v>
      </c>
      <c r="G47" s="1320">
        <v>0</v>
      </c>
      <c r="H47" s="1320">
        <v>0</v>
      </c>
      <c r="I47" s="1320">
        <v>0</v>
      </c>
      <c r="J47" s="1320">
        <v>0</v>
      </c>
      <c r="K47" s="1320">
        <v>0</v>
      </c>
      <c r="L47" s="1320">
        <v>0</v>
      </c>
      <c r="M47" s="1320">
        <v>2128</v>
      </c>
      <c r="N47" s="1320">
        <v>2245</v>
      </c>
      <c r="O47" s="1320">
        <v>2374</v>
      </c>
      <c r="P47" s="1320">
        <v>2390</v>
      </c>
      <c r="Q47" s="1320">
        <v>2295</v>
      </c>
      <c r="R47" s="1320">
        <v>2120</v>
      </c>
      <c r="S47" s="1320">
        <v>1925</v>
      </c>
      <c r="T47" s="1320">
        <v>1783</v>
      </c>
      <c r="U47" s="1320">
        <v>1700</v>
      </c>
      <c r="V47" s="1320">
        <v>1617</v>
      </c>
      <c r="W47" s="1320">
        <v>0</v>
      </c>
      <c r="X47" s="1320">
        <v>0</v>
      </c>
      <c r="Y47" s="1320">
        <v>0</v>
      </c>
      <c r="Z47" s="1320">
        <v>0</v>
      </c>
      <c r="AA47" s="1320">
        <v>0</v>
      </c>
      <c r="AB47" s="1533">
        <v>0</v>
      </c>
      <c r="AC47" s="1532"/>
    </row>
    <row r="48" spans="1:29" ht="13.5" customHeight="1">
      <c r="A48" s="1334">
        <v>2</v>
      </c>
      <c r="B48" s="1333">
        <v>207</v>
      </c>
      <c r="C48" s="1534" t="s">
        <v>634</v>
      </c>
      <c r="D48" s="1331">
        <v>108</v>
      </c>
      <c r="E48" s="1321">
        <v>0</v>
      </c>
      <c r="F48" s="1320">
        <v>0</v>
      </c>
      <c r="G48" s="1320">
        <v>0</v>
      </c>
      <c r="H48" s="1320">
        <v>0</v>
      </c>
      <c r="I48" s="1320">
        <v>0</v>
      </c>
      <c r="J48" s="1320">
        <v>0</v>
      </c>
      <c r="K48" s="1320">
        <v>0</v>
      </c>
      <c r="L48" s="1320">
        <v>0</v>
      </c>
      <c r="M48" s="1320">
        <v>8875</v>
      </c>
      <c r="N48" s="1320">
        <v>8808</v>
      </c>
      <c r="O48" s="1320">
        <v>8878</v>
      </c>
      <c r="P48" s="1320">
        <v>8973</v>
      </c>
      <c r="Q48" s="1320">
        <v>8934</v>
      </c>
      <c r="R48" s="1320">
        <v>8793</v>
      </c>
      <c r="S48" s="1320">
        <v>8690</v>
      </c>
      <c r="T48" s="1320">
        <v>8568</v>
      </c>
      <c r="U48" s="1320">
        <v>8228</v>
      </c>
      <c r="V48" s="1320">
        <v>8070</v>
      </c>
      <c r="W48" s="1320">
        <v>0</v>
      </c>
      <c r="X48" s="1320">
        <v>0</v>
      </c>
      <c r="Y48" s="1320">
        <v>0</v>
      </c>
      <c r="Z48" s="1320">
        <v>0</v>
      </c>
      <c r="AA48" s="1320">
        <v>0</v>
      </c>
      <c r="AB48" s="1533">
        <v>0</v>
      </c>
      <c r="AC48" s="1532"/>
    </row>
    <row r="49" spans="1:29" ht="13.5" customHeight="1">
      <c r="A49" s="1334">
        <v>2</v>
      </c>
      <c r="B49" s="1333">
        <v>208</v>
      </c>
      <c r="C49" s="1534" t="s">
        <v>649</v>
      </c>
      <c r="D49" s="1331">
        <v>108</v>
      </c>
      <c r="E49" s="1321">
        <v>0</v>
      </c>
      <c r="F49" s="1320">
        <v>0</v>
      </c>
      <c r="G49" s="1320">
        <v>0</v>
      </c>
      <c r="H49" s="1320">
        <v>0</v>
      </c>
      <c r="I49" s="1320">
        <v>0</v>
      </c>
      <c r="J49" s="1320">
        <v>0</v>
      </c>
      <c r="K49" s="1320">
        <v>0</v>
      </c>
      <c r="L49" s="1320">
        <v>0</v>
      </c>
      <c r="M49" s="1320">
        <v>8863</v>
      </c>
      <c r="N49" s="1320">
        <v>8772</v>
      </c>
      <c r="O49" s="1320">
        <v>8822</v>
      </c>
      <c r="P49" s="1320">
        <v>8905</v>
      </c>
      <c r="Q49" s="1320">
        <v>8866</v>
      </c>
      <c r="R49" s="1320">
        <v>8732</v>
      </c>
      <c r="S49" s="1320">
        <v>8634</v>
      </c>
      <c r="T49" s="1320">
        <v>8519</v>
      </c>
      <c r="U49" s="1320">
        <v>8196</v>
      </c>
      <c r="V49" s="1320">
        <v>8059</v>
      </c>
      <c r="W49" s="1320">
        <v>0</v>
      </c>
      <c r="X49" s="1320">
        <v>0</v>
      </c>
      <c r="Y49" s="1320">
        <v>0</v>
      </c>
      <c r="Z49" s="1320">
        <v>0</v>
      </c>
      <c r="AA49" s="1320">
        <v>0</v>
      </c>
      <c r="AB49" s="1533">
        <v>0</v>
      </c>
      <c r="AC49" s="1532"/>
    </row>
    <row r="50" spans="1:29" ht="13.5" customHeight="1">
      <c r="A50" s="1334">
        <v>2</v>
      </c>
      <c r="B50" s="1333">
        <v>209</v>
      </c>
      <c r="C50" s="1534" t="s">
        <v>665</v>
      </c>
      <c r="D50" s="1331">
        <v>35.25</v>
      </c>
      <c r="E50" s="1321">
        <v>0</v>
      </c>
      <c r="F50" s="1320">
        <v>0</v>
      </c>
      <c r="G50" s="1320">
        <v>0</v>
      </c>
      <c r="H50" s="1320">
        <v>0</v>
      </c>
      <c r="I50" s="1320">
        <v>0</v>
      </c>
      <c r="J50" s="1320">
        <v>0</v>
      </c>
      <c r="K50" s="1320">
        <v>0</v>
      </c>
      <c r="L50" s="1320">
        <v>0</v>
      </c>
      <c r="M50" s="1320">
        <v>4770</v>
      </c>
      <c r="N50" s="1320">
        <v>4881</v>
      </c>
      <c r="O50" s="1320">
        <v>4911</v>
      </c>
      <c r="P50" s="1320">
        <v>4990</v>
      </c>
      <c r="Q50" s="1320">
        <v>4938</v>
      </c>
      <c r="R50" s="1320">
        <v>4830</v>
      </c>
      <c r="S50" s="1320">
        <v>4771</v>
      </c>
      <c r="T50" s="1320">
        <v>4745</v>
      </c>
      <c r="U50" s="1320">
        <v>4573</v>
      </c>
      <c r="V50" s="1320">
        <v>4589</v>
      </c>
      <c r="W50" s="1320">
        <v>0</v>
      </c>
      <c r="X50" s="1320">
        <v>0</v>
      </c>
      <c r="Y50" s="1320">
        <v>0</v>
      </c>
      <c r="Z50" s="1320">
        <v>0</v>
      </c>
      <c r="AA50" s="1320">
        <v>0</v>
      </c>
      <c r="AB50" s="1533">
        <v>0</v>
      </c>
      <c r="AC50" s="1532"/>
    </row>
    <row r="51" spans="1:29" ht="13.5" customHeight="1">
      <c r="A51" s="1334">
        <v>2</v>
      </c>
      <c r="B51" s="1333">
        <v>210</v>
      </c>
      <c r="C51" s="1534" t="s">
        <v>682</v>
      </c>
      <c r="D51" s="1331">
        <v>21</v>
      </c>
      <c r="E51" s="1321">
        <v>0</v>
      </c>
      <c r="F51" s="1320">
        <v>0</v>
      </c>
      <c r="G51" s="1320">
        <v>0</v>
      </c>
      <c r="H51" s="1320">
        <v>0</v>
      </c>
      <c r="I51" s="1320">
        <v>0</v>
      </c>
      <c r="J51" s="1320">
        <v>0</v>
      </c>
      <c r="K51" s="1320">
        <v>0</v>
      </c>
      <c r="L51" s="1320">
        <v>0</v>
      </c>
      <c r="M51" s="1320">
        <v>1065</v>
      </c>
      <c r="N51" s="1320">
        <v>1045</v>
      </c>
      <c r="O51" s="1320">
        <v>1054</v>
      </c>
      <c r="P51" s="1320">
        <v>1087</v>
      </c>
      <c r="Q51" s="1320">
        <v>1107</v>
      </c>
      <c r="R51" s="1320">
        <v>1125</v>
      </c>
      <c r="S51" s="1320">
        <v>1166</v>
      </c>
      <c r="T51" s="1320">
        <v>1216</v>
      </c>
      <c r="U51" s="1320">
        <v>1218</v>
      </c>
      <c r="V51" s="1320">
        <v>1233</v>
      </c>
      <c r="W51" s="1320">
        <v>0</v>
      </c>
      <c r="X51" s="1320">
        <v>0</v>
      </c>
      <c r="Y51" s="1320">
        <v>0</v>
      </c>
      <c r="Z51" s="1320">
        <v>0</v>
      </c>
      <c r="AA51" s="1320">
        <v>0</v>
      </c>
      <c r="AB51" s="1533">
        <v>0</v>
      </c>
      <c r="AC51" s="1532"/>
    </row>
    <row r="52" spans="1:29" ht="13.5" customHeight="1" thickBot="1">
      <c r="A52" s="1437">
        <v>2</v>
      </c>
      <c r="B52" s="1438">
        <v>211</v>
      </c>
      <c r="C52" s="1558" t="s">
        <v>703</v>
      </c>
      <c r="D52" s="1440">
        <v>37.35</v>
      </c>
      <c r="E52" s="1444">
        <v>0</v>
      </c>
      <c r="F52" s="1445">
        <v>0</v>
      </c>
      <c r="G52" s="1445">
        <v>0</v>
      </c>
      <c r="H52" s="1445">
        <v>0</v>
      </c>
      <c r="I52" s="1445">
        <v>0</v>
      </c>
      <c r="J52" s="1445">
        <v>0</v>
      </c>
      <c r="K52" s="1445">
        <v>0</v>
      </c>
      <c r="L52" s="1445">
        <v>0</v>
      </c>
      <c r="M52" s="1445">
        <v>3257</v>
      </c>
      <c r="N52" s="1445">
        <v>3232</v>
      </c>
      <c r="O52" s="1445">
        <v>3283</v>
      </c>
      <c r="P52" s="1445">
        <v>3313</v>
      </c>
      <c r="Q52" s="1445">
        <v>3301</v>
      </c>
      <c r="R52" s="1445">
        <v>3269</v>
      </c>
      <c r="S52" s="1445">
        <v>3240</v>
      </c>
      <c r="T52" s="1445">
        <v>3211</v>
      </c>
      <c r="U52" s="1445">
        <v>3136</v>
      </c>
      <c r="V52" s="1445">
        <v>3069</v>
      </c>
      <c r="W52" s="1445">
        <v>0</v>
      </c>
      <c r="X52" s="1445">
        <v>0</v>
      </c>
      <c r="Y52" s="1445">
        <v>0</v>
      </c>
      <c r="Z52" s="1445">
        <v>0</v>
      </c>
      <c r="AA52" s="1445">
        <v>0</v>
      </c>
      <c r="AB52" s="1559">
        <v>0</v>
      </c>
      <c r="AC52" s="1560"/>
    </row>
    <row r="53" spans="1:29" ht="13.5" customHeight="1" thickTop="1">
      <c r="A53" s="1580" t="s">
        <v>901</v>
      </c>
      <c r="B53" s="1581"/>
      <c r="C53" s="1582"/>
      <c r="D53" s="1576">
        <v>632.18000000000006</v>
      </c>
      <c r="E53" s="1577">
        <v>0</v>
      </c>
      <c r="F53" s="1578">
        <v>0</v>
      </c>
      <c r="G53" s="1578">
        <v>0</v>
      </c>
      <c r="H53" s="1578">
        <v>0</v>
      </c>
      <c r="I53" s="1578">
        <v>0</v>
      </c>
      <c r="J53" s="1578">
        <v>0</v>
      </c>
      <c r="K53" s="1578">
        <v>0</v>
      </c>
      <c r="L53" s="1578">
        <v>0</v>
      </c>
      <c r="M53" s="1578">
        <v>56107</v>
      </c>
      <c r="N53" s="1578">
        <v>57170</v>
      </c>
      <c r="O53" s="1578">
        <v>58421</v>
      </c>
      <c r="P53" s="1578">
        <v>58796</v>
      </c>
      <c r="Q53" s="1578">
        <v>57374</v>
      </c>
      <c r="R53" s="1578">
        <v>54834</v>
      </c>
      <c r="S53" s="1578">
        <v>52337</v>
      </c>
      <c r="T53" s="1578">
        <v>50634</v>
      </c>
      <c r="U53" s="1578">
        <v>48735</v>
      </c>
      <c r="V53" s="1578">
        <v>47865</v>
      </c>
      <c r="W53" s="1578">
        <v>0</v>
      </c>
      <c r="X53" s="1578">
        <v>0</v>
      </c>
      <c r="Y53" s="1578">
        <v>0</v>
      </c>
      <c r="Z53" s="1578">
        <v>0</v>
      </c>
      <c r="AA53" s="1578">
        <v>0</v>
      </c>
      <c r="AB53" s="1578">
        <v>0</v>
      </c>
      <c r="AC53" s="1579"/>
    </row>
    <row r="54" spans="1:29" ht="13.5" customHeight="1" thickBot="1">
      <c r="A54" s="1437"/>
      <c r="B54" s="1438"/>
      <c r="C54" s="1583"/>
      <c r="D54" s="1440"/>
      <c r="E54" s="1444"/>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559"/>
      <c r="AC54" s="1560"/>
    </row>
    <row r="55" spans="1:29" ht="13.5" customHeight="1" thickTop="1" thickBot="1">
      <c r="A55" s="1596" t="s">
        <v>904</v>
      </c>
      <c r="B55" s="1597"/>
      <c r="C55" s="1597"/>
      <c r="D55" s="1598">
        <v>632.18000000000006</v>
      </c>
      <c r="E55" s="1599">
        <v>0</v>
      </c>
      <c r="F55" s="1600">
        <v>0</v>
      </c>
      <c r="G55" s="1600">
        <v>0</v>
      </c>
      <c r="H55" s="1600">
        <v>0</v>
      </c>
      <c r="I55" s="1600">
        <v>0</v>
      </c>
      <c r="J55" s="1600">
        <v>0</v>
      </c>
      <c r="K55" s="1600">
        <v>0</v>
      </c>
      <c r="L55" s="1600">
        <v>0</v>
      </c>
      <c r="M55" s="1600">
        <v>56107</v>
      </c>
      <c r="N55" s="1600">
        <v>57170</v>
      </c>
      <c r="O55" s="1600">
        <v>58421</v>
      </c>
      <c r="P55" s="1600">
        <v>58796</v>
      </c>
      <c r="Q55" s="1600">
        <v>57374</v>
      </c>
      <c r="R55" s="1600">
        <v>54834</v>
      </c>
      <c r="S55" s="1600">
        <v>52337</v>
      </c>
      <c r="T55" s="1600">
        <v>50634</v>
      </c>
      <c r="U55" s="1600">
        <v>48735</v>
      </c>
      <c r="V55" s="1600">
        <v>47865</v>
      </c>
      <c r="W55" s="1600">
        <v>0</v>
      </c>
      <c r="X55" s="1600">
        <v>0</v>
      </c>
      <c r="Y55" s="1600">
        <v>0</v>
      </c>
      <c r="Z55" s="1600">
        <v>0</v>
      </c>
      <c r="AA55" s="1600">
        <v>0</v>
      </c>
      <c r="AB55" s="1600">
        <v>0</v>
      </c>
      <c r="AC55" s="1601"/>
    </row>
    <row r="56" spans="1:29" ht="18.95" customHeight="1" thickTop="1" thickBot="1">
      <c r="A56" s="1602" t="s">
        <v>905</v>
      </c>
      <c r="B56" s="1603"/>
      <c r="C56" s="1604"/>
      <c r="D56" s="1605">
        <v>632.18000000000006</v>
      </c>
      <c r="E56" s="1606">
        <v>0</v>
      </c>
      <c r="F56" s="1607">
        <v>0</v>
      </c>
      <c r="G56" s="1607">
        <v>0</v>
      </c>
      <c r="H56" s="1607">
        <v>0</v>
      </c>
      <c r="I56" s="1607">
        <v>0</v>
      </c>
      <c r="J56" s="1607">
        <v>0</v>
      </c>
      <c r="K56" s="1607">
        <v>0</v>
      </c>
      <c r="L56" s="1607">
        <v>0</v>
      </c>
      <c r="M56" s="1607">
        <v>67723</v>
      </c>
      <c r="N56" s="1607">
        <v>68036</v>
      </c>
      <c r="O56" s="1607">
        <v>69273</v>
      </c>
      <c r="P56" s="1608">
        <v>70599</v>
      </c>
      <c r="Q56" s="1607">
        <v>69731</v>
      </c>
      <c r="R56" s="1607">
        <v>67766</v>
      </c>
      <c r="S56" s="1607">
        <v>67163</v>
      </c>
      <c r="T56" s="1607">
        <v>66020</v>
      </c>
      <c r="U56" s="1607">
        <v>64253</v>
      </c>
      <c r="V56" s="1607">
        <v>61972</v>
      </c>
      <c r="W56" s="1607">
        <v>0</v>
      </c>
      <c r="X56" s="1607">
        <v>0</v>
      </c>
      <c r="Y56" s="1607">
        <v>0</v>
      </c>
      <c r="Z56" s="1607">
        <v>0</v>
      </c>
      <c r="AA56" s="1607">
        <v>0</v>
      </c>
      <c r="AB56" s="1607">
        <v>0</v>
      </c>
      <c r="AC56" s="1609"/>
    </row>
    <row r="57" spans="1:29" ht="13.5" customHeight="1" thickTop="1">
      <c r="A57" s="1610" t="s">
        <v>906</v>
      </c>
      <c r="B57" s="1603"/>
      <c r="C57" s="1604"/>
      <c r="D57" s="1611">
        <v>632.18000000000006</v>
      </c>
      <c r="E57" s="1612">
        <v>0</v>
      </c>
      <c r="F57" s="1613">
        <v>0</v>
      </c>
      <c r="G57" s="1613">
        <v>0</v>
      </c>
      <c r="H57" s="1613">
        <v>0</v>
      </c>
      <c r="I57" s="1613">
        <v>0</v>
      </c>
      <c r="J57" s="1613">
        <v>0</v>
      </c>
      <c r="K57" s="1613">
        <v>0</v>
      </c>
      <c r="L57" s="1613">
        <v>0</v>
      </c>
      <c r="M57" s="1613">
        <v>68</v>
      </c>
      <c r="N57" s="1613">
        <v>68</v>
      </c>
      <c r="O57" s="1613">
        <v>70</v>
      </c>
      <c r="P57" s="1614">
        <v>71</v>
      </c>
      <c r="Q57" s="1613">
        <v>70</v>
      </c>
      <c r="R57" s="1613">
        <v>68</v>
      </c>
      <c r="S57" s="1613">
        <v>68</v>
      </c>
      <c r="T57" s="1613">
        <v>66</v>
      </c>
      <c r="U57" s="1613">
        <v>65</v>
      </c>
      <c r="V57" s="1613">
        <v>62</v>
      </c>
      <c r="W57" s="1613">
        <v>0</v>
      </c>
      <c r="X57" s="1613">
        <v>0</v>
      </c>
      <c r="Y57" s="1613">
        <v>0</v>
      </c>
      <c r="Z57" s="1613">
        <v>0</v>
      </c>
      <c r="AA57" s="1613">
        <v>0</v>
      </c>
      <c r="AB57" s="1613">
        <v>0</v>
      </c>
      <c r="AC57" s="1615"/>
    </row>
    <row r="58" spans="1:29" ht="13.5" customHeight="1">
      <c r="A58" s="1616" t="s">
        <v>907</v>
      </c>
      <c r="B58" s="1557"/>
      <c r="C58" s="1617"/>
      <c r="D58" s="1618">
        <v>632.18000000000006</v>
      </c>
      <c r="E58" s="1619">
        <v>0</v>
      </c>
      <c r="F58" s="1620">
        <v>0</v>
      </c>
      <c r="G58" s="1620">
        <v>0</v>
      </c>
      <c r="H58" s="1620">
        <v>0</v>
      </c>
      <c r="I58" s="1620">
        <v>0</v>
      </c>
      <c r="J58" s="1620">
        <v>0</v>
      </c>
      <c r="K58" s="1620">
        <v>0</v>
      </c>
      <c r="L58" s="1620">
        <v>0</v>
      </c>
      <c r="M58" s="1620">
        <v>107</v>
      </c>
      <c r="N58" s="1620">
        <v>108</v>
      </c>
      <c r="O58" s="1620">
        <v>110</v>
      </c>
      <c r="P58" s="1622">
        <v>112</v>
      </c>
      <c r="Q58" s="1620">
        <v>110</v>
      </c>
      <c r="R58" s="1620">
        <v>107</v>
      </c>
      <c r="S58" s="1620">
        <v>106</v>
      </c>
      <c r="T58" s="1620">
        <v>104</v>
      </c>
      <c r="U58" s="1620">
        <v>102</v>
      </c>
      <c r="V58" s="1620">
        <v>98</v>
      </c>
      <c r="W58" s="1620">
        <v>0</v>
      </c>
      <c r="X58" s="1620">
        <v>0</v>
      </c>
      <c r="Y58" s="1620">
        <v>0</v>
      </c>
      <c r="Z58" s="1620">
        <v>0</v>
      </c>
      <c r="AA58" s="1620">
        <v>0</v>
      </c>
      <c r="AB58" s="1620">
        <v>0</v>
      </c>
      <c r="AC58" s="1621"/>
    </row>
    <row r="65" spans="3:26" s="1308" customFormat="1" ht="13.5" customHeight="1">
      <c r="C65" s="1315"/>
      <c r="D65" s="1315"/>
      <c r="E65" s="1315"/>
      <c r="G65" s="1312"/>
      <c r="K65" s="1312"/>
      <c r="N65" s="1312"/>
      <c r="Q65" s="1312"/>
      <c r="S65" s="1312"/>
      <c r="T65" s="1312"/>
      <c r="W65" s="1312"/>
      <c r="Z65" s="1312"/>
    </row>
    <row r="66" spans="3:26" s="1308" customFormat="1" ht="13.5" customHeight="1">
      <c r="C66" s="1315"/>
      <c r="D66" s="1315"/>
      <c r="E66" s="1315"/>
      <c r="F66" s="1316"/>
      <c r="G66" s="1312"/>
      <c r="J66" s="1316"/>
      <c r="K66" s="1312"/>
      <c r="N66" s="1312"/>
      <c r="P66" s="1316"/>
      <c r="Q66" s="1312"/>
      <c r="S66" s="1312"/>
      <c r="T66" s="1312"/>
      <c r="V66" s="1316"/>
      <c r="W66" s="1312"/>
      <c r="Z66" s="1312"/>
    </row>
    <row r="67" spans="3:26" s="1308" customFormat="1" ht="13.5" customHeight="1">
      <c r="C67" s="1315"/>
      <c r="D67" s="1315"/>
      <c r="E67" s="1315"/>
      <c r="F67" s="1314"/>
      <c r="G67" s="1312"/>
      <c r="J67" s="1314"/>
      <c r="K67" s="1312"/>
      <c r="N67" s="1312"/>
      <c r="P67" s="1314"/>
      <c r="Q67" s="1312"/>
      <c r="S67" s="1312"/>
      <c r="T67" s="1312"/>
      <c r="V67" s="1314"/>
      <c r="W67" s="1312"/>
      <c r="Z67" s="1312"/>
    </row>
    <row r="68" spans="3:26" s="1308" customFormat="1" ht="13.5" customHeight="1">
      <c r="C68" s="1313"/>
      <c r="D68" s="1313"/>
      <c r="E68" s="1313"/>
      <c r="F68" s="1312"/>
      <c r="J68" s="1312"/>
      <c r="P68" s="1312"/>
      <c r="V68" s="1312"/>
    </row>
  </sheetData>
  <mergeCells count="21">
    <mergeCell ref="A58:C58"/>
    <mergeCell ref="A53:C53"/>
    <mergeCell ref="A21:C21"/>
    <mergeCell ref="A38:C38"/>
    <mergeCell ref="A55:C55"/>
    <mergeCell ref="A56:C56"/>
    <mergeCell ref="A57:C57"/>
    <mergeCell ref="A6:AC6"/>
    <mergeCell ref="A23:AC23"/>
    <mergeCell ref="A40:AC40"/>
    <mergeCell ref="A7:C7"/>
    <mergeCell ref="A24:C24"/>
    <mergeCell ref="A41:C41"/>
    <mergeCell ref="A19:C19"/>
    <mergeCell ref="A36:C36"/>
    <mergeCell ref="A4:A5"/>
    <mergeCell ref="B4:B5"/>
    <mergeCell ref="C4:C5"/>
    <mergeCell ref="D4:D5"/>
    <mergeCell ref="E4:AB4"/>
    <mergeCell ref="AC4:AC5"/>
  </mergeCells>
  <phoneticPr fontId="3"/>
  <pageMargins left="0.39370078740157483" right="0.39370078740157483" top="0.78740157480314965" bottom="0.55118110236220474" header="0.31496062992125984" footer="0.31496062992125984"/>
  <pageSetup paperSize="9" scale="54" fitToHeight="0" orientation="landscape" horizontalDpi="1200" verticalDpi="1200" r:id="rId1"/>
  <headerFooter scaleWithDoc="0">
    <oddFooter>&amp;C&amp;"ＭＳ Ｐゴシック,標準"&amp;9( &amp;P / &amp;N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G49"/>
  <sheetViews>
    <sheetView showGridLines="0" zoomScale="80" zoomScaleNormal="80" workbookViewId="0">
      <pane xSplit="4" ySplit="5" topLeftCell="E6" activePane="bottomRight" state="frozenSplit"/>
      <selection sqref="A1:E1"/>
      <selection pane="topRight" sqref="A1:E1"/>
      <selection pane="bottomLeft" sqref="A1:E1"/>
      <selection pane="bottomRight" sqref="A1:E1"/>
    </sheetView>
  </sheetViews>
  <sheetFormatPr defaultColWidth="9.140625" defaultRowHeight="13.5" customHeight="1"/>
  <cols>
    <col min="1" max="1" width="5.42578125" style="1308" customWidth="1"/>
    <col min="2" max="2" width="7.5703125" style="1308" customWidth="1"/>
    <col min="3" max="3" width="33.7109375" style="1308" customWidth="1"/>
    <col min="4" max="4" width="10.7109375" style="1308" customWidth="1"/>
    <col min="5" max="6" width="15.7109375" style="1308" customWidth="1"/>
    <col min="7" max="7" width="30.7109375" style="1308" customWidth="1"/>
    <col min="8" max="16384" width="9.140625" style="1304"/>
  </cols>
  <sheetData>
    <row r="1" spans="1:7" s="1626" customFormat="1" ht="21" customHeight="1">
      <c r="A1" s="1632" t="s">
        <v>909</v>
      </c>
      <c r="B1" s="1631"/>
      <c r="C1" s="1630"/>
      <c r="D1" s="1629"/>
      <c r="E1" s="1628"/>
      <c r="F1" s="1628"/>
      <c r="G1" s="1627"/>
    </row>
    <row r="4" spans="1:7" ht="13.5" customHeight="1">
      <c r="A4" s="1408" t="s">
        <v>347</v>
      </c>
      <c r="B4" s="1407" t="s">
        <v>334</v>
      </c>
      <c r="C4" s="1543" t="s">
        <v>744</v>
      </c>
      <c r="D4" s="1542" t="s">
        <v>743</v>
      </c>
      <c r="E4" s="1541" t="s">
        <v>908</v>
      </c>
      <c r="F4" s="1539"/>
      <c r="G4" s="1625" t="s">
        <v>895</v>
      </c>
    </row>
    <row r="5" spans="1:7" ht="13.5" customHeight="1">
      <c r="A5" s="1376"/>
      <c r="B5" s="1375"/>
      <c r="C5" s="1553"/>
      <c r="D5" s="1554"/>
      <c r="E5" s="1624" t="s">
        <v>39</v>
      </c>
      <c r="F5" s="1623" t="s">
        <v>64</v>
      </c>
      <c r="G5" s="1633"/>
    </row>
    <row r="6" spans="1:7" ht="13.5" customHeight="1">
      <c r="A6" s="1570" t="s">
        <v>900</v>
      </c>
      <c r="B6" s="1571"/>
      <c r="C6" s="1572"/>
      <c r="D6" s="1565"/>
      <c r="E6" s="1566"/>
      <c r="F6" s="1568"/>
      <c r="G6" s="1569"/>
    </row>
    <row r="7" spans="1:7" ht="13.5" customHeight="1">
      <c r="A7" s="1334">
        <v>2</v>
      </c>
      <c r="B7" s="1333">
        <v>201</v>
      </c>
      <c r="C7" s="1556" t="s">
        <v>323</v>
      </c>
      <c r="D7" s="1331">
        <v>56.25</v>
      </c>
      <c r="E7" s="1321">
        <v>3390</v>
      </c>
      <c r="F7" s="1533">
        <v>3205</v>
      </c>
      <c r="G7" s="1532"/>
    </row>
    <row r="8" spans="1:7" ht="13.5" customHeight="1">
      <c r="A8" s="1334">
        <v>2</v>
      </c>
      <c r="B8" s="1333">
        <v>202</v>
      </c>
      <c r="C8" s="1534" t="s">
        <v>509</v>
      </c>
      <c r="D8" s="1331">
        <v>196.5</v>
      </c>
      <c r="E8" s="1321">
        <v>11815</v>
      </c>
      <c r="F8" s="1533">
        <v>10832</v>
      </c>
      <c r="G8" s="1532"/>
    </row>
    <row r="9" spans="1:7" ht="13.5" customHeight="1">
      <c r="A9" s="1334">
        <v>2</v>
      </c>
      <c r="B9" s="1333">
        <v>203</v>
      </c>
      <c r="C9" s="1534" t="s">
        <v>540</v>
      </c>
      <c r="D9" s="1331">
        <v>5.7</v>
      </c>
      <c r="E9" s="1321">
        <v>145</v>
      </c>
      <c r="F9" s="1533">
        <v>147</v>
      </c>
      <c r="G9" s="1532"/>
    </row>
    <row r="10" spans="1:7" ht="13.5" customHeight="1">
      <c r="A10" s="1334">
        <v>2</v>
      </c>
      <c r="B10" s="1333">
        <v>204</v>
      </c>
      <c r="C10" s="1534" t="s">
        <v>563</v>
      </c>
      <c r="D10" s="1331">
        <v>16.53</v>
      </c>
      <c r="E10" s="1321">
        <v>960</v>
      </c>
      <c r="F10" s="1533">
        <v>895</v>
      </c>
      <c r="G10" s="1532"/>
    </row>
    <row r="11" spans="1:7" ht="13.5" customHeight="1">
      <c r="A11" s="1334">
        <v>2</v>
      </c>
      <c r="B11" s="1333">
        <v>205</v>
      </c>
      <c r="C11" s="1534" t="s">
        <v>588</v>
      </c>
      <c r="D11" s="1331">
        <v>17.600000000000001</v>
      </c>
      <c r="E11" s="1321">
        <v>868</v>
      </c>
      <c r="F11" s="1533">
        <v>803</v>
      </c>
      <c r="G11" s="1532"/>
    </row>
    <row r="12" spans="1:7" ht="13.5" customHeight="1">
      <c r="A12" s="1334">
        <v>2</v>
      </c>
      <c r="B12" s="1333">
        <v>206</v>
      </c>
      <c r="C12" s="1534" t="s">
        <v>612</v>
      </c>
      <c r="D12" s="1331">
        <v>30</v>
      </c>
      <c r="E12" s="1321">
        <v>1330</v>
      </c>
      <c r="F12" s="1533">
        <v>1356</v>
      </c>
      <c r="G12" s="1532"/>
    </row>
    <row r="13" spans="1:7" ht="13.5" customHeight="1">
      <c r="A13" s="1334">
        <v>2</v>
      </c>
      <c r="B13" s="1333">
        <v>207</v>
      </c>
      <c r="C13" s="1534" t="s">
        <v>634</v>
      </c>
      <c r="D13" s="1331">
        <v>108</v>
      </c>
      <c r="E13" s="1321">
        <v>6811</v>
      </c>
      <c r="F13" s="1533">
        <v>6273</v>
      </c>
      <c r="G13" s="1532"/>
    </row>
    <row r="14" spans="1:7" ht="13.5" customHeight="1">
      <c r="A14" s="1334">
        <v>2</v>
      </c>
      <c r="B14" s="1333">
        <v>208</v>
      </c>
      <c r="C14" s="1534" t="s">
        <v>649</v>
      </c>
      <c r="D14" s="1331">
        <v>108</v>
      </c>
      <c r="E14" s="1321">
        <v>6380</v>
      </c>
      <c r="F14" s="1533">
        <v>5836</v>
      </c>
      <c r="G14" s="1532"/>
    </row>
    <row r="15" spans="1:7" ht="13.5" customHeight="1">
      <c r="A15" s="1334">
        <v>2</v>
      </c>
      <c r="B15" s="1333">
        <v>209</v>
      </c>
      <c r="C15" s="1534" t="s">
        <v>665</v>
      </c>
      <c r="D15" s="1331">
        <v>35.25</v>
      </c>
      <c r="E15" s="1321">
        <v>5767</v>
      </c>
      <c r="F15" s="1533">
        <v>5116</v>
      </c>
      <c r="G15" s="1532"/>
    </row>
    <row r="16" spans="1:7" ht="13.5" customHeight="1">
      <c r="A16" s="1334">
        <v>2</v>
      </c>
      <c r="B16" s="1333">
        <v>210</v>
      </c>
      <c r="C16" s="1534" t="s">
        <v>682</v>
      </c>
      <c r="D16" s="1331">
        <v>21</v>
      </c>
      <c r="E16" s="1321">
        <v>1805</v>
      </c>
      <c r="F16" s="1533">
        <v>1716</v>
      </c>
      <c r="G16" s="1532"/>
    </row>
    <row r="17" spans="1:7" ht="13.5" customHeight="1" thickBot="1">
      <c r="A17" s="1437">
        <v>2</v>
      </c>
      <c r="B17" s="1438">
        <v>211</v>
      </c>
      <c r="C17" s="1558" t="s">
        <v>703</v>
      </c>
      <c r="D17" s="1440">
        <v>37.35</v>
      </c>
      <c r="E17" s="1444">
        <v>1399</v>
      </c>
      <c r="F17" s="1559">
        <v>1419</v>
      </c>
      <c r="G17" s="1560"/>
    </row>
    <row r="18" spans="1:7" ht="13.5" customHeight="1" thickTop="1">
      <c r="A18" s="1580" t="s">
        <v>901</v>
      </c>
      <c r="B18" s="1581"/>
      <c r="C18" s="1582"/>
      <c r="D18" s="1576">
        <v>632.18000000000006</v>
      </c>
      <c r="E18" s="1577">
        <v>40670</v>
      </c>
      <c r="F18" s="1578">
        <v>37598</v>
      </c>
      <c r="G18" s="1579"/>
    </row>
    <row r="19" spans="1:7" ht="13.5" customHeight="1">
      <c r="A19" s="1334"/>
      <c r="B19" s="1333"/>
      <c r="C19" s="1556"/>
      <c r="D19" s="1331"/>
      <c r="E19" s="1321"/>
      <c r="F19" s="1533"/>
      <c r="G19" s="1532"/>
    </row>
    <row r="20" spans="1:7" ht="13.5" customHeight="1">
      <c r="A20" s="1334"/>
      <c r="B20" s="1333"/>
      <c r="C20" s="1534"/>
      <c r="D20" s="1331"/>
      <c r="E20" s="1321"/>
      <c r="F20" s="1533"/>
      <c r="G20" s="1532"/>
    </row>
    <row r="21" spans="1:7" ht="13.5" customHeight="1">
      <c r="A21" s="1334"/>
      <c r="B21" s="1333"/>
      <c r="C21" s="1534"/>
      <c r="D21" s="1331"/>
      <c r="E21" s="1321"/>
      <c r="F21" s="1533"/>
      <c r="G21" s="1532"/>
    </row>
    <row r="22" spans="1:7" ht="13.5" customHeight="1">
      <c r="A22" s="1334"/>
      <c r="B22" s="1333"/>
      <c r="C22" s="1534"/>
      <c r="D22" s="1331"/>
      <c r="E22" s="1321"/>
      <c r="F22" s="1533"/>
      <c r="G22" s="1532"/>
    </row>
    <row r="23" spans="1:7" ht="13.5" customHeight="1">
      <c r="A23" s="1334"/>
      <c r="B23" s="1333"/>
      <c r="C23" s="1534"/>
      <c r="D23" s="1331"/>
      <c r="E23" s="1321"/>
      <c r="F23" s="1533"/>
      <c r="G23" s="1532"/>
    </row>
    <row r="24" spans="1:7" ht="13.5" customHeight="1">
      <c r="A24" s="1334"/>
      <c r="B24" s="1333"/>
      <c r="C24" s="1534"/>
      <c r="D24" s="1331"/>
      <c r="E24" s="1321"/>
      <c r="F24" s="1533"/>
      <c r="G24" s="1532"/>
    </row>
    <row r="25" spans="1:7" ht="13.5" customHeight="1">
      <c r="A25" s="1334"/>
      <c r="B25" s="1333"/>
      <c r="C25" s="1534"/>
      <c r="D25" s="1331"/>
      <c r="E25" s="1321"/>
      <c r="F25" s="1533"/>
      <c r="G25" s="1532"/>
    </row>
    <row r="26" spans="1:7" ht="13.5" customHeight="1">
      <c r="A26" s="1334"/>
      <c r="B26" s="1333"/>
      <c r="C26" s="1534"/>
      <c r="D26" s="1331"/>
      <c r="E26" s="1321"/>
      <c r="F26" s="1533"/>
      <c r="G26" s="1532"/>
    </row>
    <row r="27" spans="1:7" ht="13.5" customHeight="1">
      <c r="A27" s="1334"/>
      <c r="B27" s="1333"/>
      <c r="C27" s="1534"/>
      <c r="D27" s="1331"/>
      <c r="E27" s="1321"/>
      <c r="F27" s="1533"/>
      <c r="G27" s="1532"/>
    </row>
    <row r="28" spans="1:7" ht="13.5" customHeight="1">
      <c r="A28" s="1334"/>
      <c r="B28" s="1333"/>
      <c r="C28" s="1534"/>
      <c r="D28" s="1331"/>
      <c r="E28" s="1321"/>
      <c r="F28" s="1533"/>
      <c r="G28" s="1532"/>
    </row>
    <row r="29" spans="1:7" ht="13.5" customHeight="1">
      <c r="A29" s="1334"/>
      <c r="B29" s="1333"/>
      <c r="C29" s="1534"/>
      <c r="D29" s="1331"/>
      <c r="E29" s="1321"/>
      <c r="F29" s="1533"/>
      <c r="G29" s="1532"/>
    </row>
    <row r="30" spans="1:7" ht="13.5" customHeight="1">
      <c r="A30" s="1334"/>
      <c r="B30" s="1333"/>
      <c r="C30" s="1534"/>
      <c r="D30" s="1331"/>
      <c r="E30" s="1321"/>
      <c r="F30" s="1533"/>
      <c r="G30" s="1532"/>
    </row>
    <row r="31" spans="1:7" ht="13.5" customHeight="1">
      <c r="A31" s="1334"/>
      <c r="B31" s="1333"/>
      <c r="C31" s="1534"/>
      <c r="D31" s="1331"/>
      <c r="E31" s="1321"/>
      <c r="F31" s="1533"/>
      <c r="G31" s="1532"/>
    </row>
    <row r="32" spans="1:7" ht="13.5" customHeight="1">
      <c r="A32" s="1334"/>
      <c r="B32" s="1333"/>
      <c r="C32" s="1534"/>
      <c r="D32" s="1331"/>
      <c r="E32" s="1321"/>
      <c r="F32" s="1533"/>
      <c r="G32" s="1532"/>
    </row>
    <row r="33" spans="1:7" ht="13.5" customHeight="1">
      <c r="A33" s="1334"/>
      <c r="B33" s="1333"/>
      <c r="C33" s="1534"/>
      <c r="D33" s="1331"/>
      <c r="E33" s="1321"/>
      <c r="F33" s="1533"/>
      <c r="G33" s="1532"/>
    </row>
    <row r="34" spans="1:7" ht="13.5" customHeight="1">
      <c r="A34" s="1334"/>
      <c r="B34" s="1333"/>
      <c r="C34" s="1534"/>
      <c r="D34" s="1331"/>
      <c r="E34" s="1321"/>
      <c r="F34" s="1533"/>
      <c r="G34" s="1532"/>
    </row>
    <row r="35" spans="1:7" ht="13.5" customHeight="1">
      <c r="A35" s="1334"/>
      <c r="B35" s="1333"/>
      <c r="C35" s="1534"/>
      <c r="D35" s="1331"/>
      <c r="E35" s="1321"/>
      <c r="F35" s="1533"/>
      <c r="G35" s="1532"/>
    </row>
    <row r="36" spans="1:7" ht="13.5" customHeight="1">
      <c r="A36" s="1334"/>
      <c r="B36" s="1333"/>
      <c r="C36" s="1534"/>
      <c r="D36" s="1331"/>
      <c r="E36" s="1321"/>
      <c r="F36" s="1533"/>
      <c r="G36" s="1532"/>
    </row>
    <row r="37" spans="1:7" ht="13.5" customHeight="1" thickBot="1">
      <c r="A37" s="1437"/>
      <c r="B37" s="1438"/>
      <c r="C37" s="1558"/>
      <c r="D37" s="1440"/>
      <c r="E37" s="1444"/>
      <c r="F37" s="1559"/>
      <c r="G37" s="1560"/>
    </row>
    <row r="38" spans="1:7" ht="18.95" customHeight="1" thickTop="1" thickBot="1">
      <c r="A38" s="1610" t="s">
        <v>910</v>
      </c>
      <c r="B38" s="1603"/>
      <c r="C38" s="1604"/>
      <c r="D38" s="1611">
        <v>632.18000000000006</v>
      </c>
      <c r="E38" s="1634">
        <v>40670</v>
      </c>
      <c r="F38" s="1613">
        <v>37598</v>
      </c>
      <c r="G38" s="1635"/>
    </row>
    <row r="39" spans="1:7" ht="13.5" customHeight="1" thickTop="1">
      <c r="A39" s="1610" t="s">
        <v>906</v>
      </c>
      <c r="B39" s="1603"/>
      <c r="C39" s="1604"/>
      <c r="D39" s="1611">
        <v>632.18000000000006</v>
      </c>
      <c r="E39" s="1634">
        <v>41</v>
      </c>
      <c r="F39" s="1613">
        <v>38</v>
      </c>
      <c r="G39" s="1615"/>
    </row>
    <row r="40" spans="1:7" ht="13.5" customHeight="1">
      <c r="A40" s="1616" t="s">
        <v>907</v>
      </c>
      <c r="B40" s="1557"/>
      <c r="C40" s="1617"/>
      <c r="D40" s="1618">
        <v>632.18000000000006</v>
      </c>
      <c r="E40" s="1636">
        <v>64</v>
      </c>
      <c r="F40" s="1620">
        <v>59</v>
      </c>
      <c r="G40" s="1621"/>
    </row>
    <row r="46" spans="1:7" s="1308" customFormat="1" ht="13.5" customHeight="1">
      <c r="C46" s="1315"/>
      <c r="D46" s="1315"/>
      <c r="E46" s="1315"/>
      <c r="F46" s="1312"/>
    </row>
    <row r="47" spans="1:7" s="1308" customFormat="1" ht="13.5" customHeight="1">
      <c r="C47" s="1315"/>
      <c r="D47" s="1315"/>
      <c r="E47" s="1315"/>
      <c r="F47" s="1312"/>
    </row>
    <row r="48" spans="1:7" s="1308" customFormat="1" ht="13.5" customHeight="1">
      <c r="C48" s="1315"/>
      <c r="D48" s="1315"/>
      <c r="E48" s="1315"/>
      <c r="F48" s="1312"/>
    </row>
    <row r="49" spans="3:5" s="1308" customFormat="1" ht="13.5" customHeight="1">
      <c r="C49" s="1313"/>
      <c r="D49" s="1313"/>
      <c r="E49" s="1313"/>
    </row>
  </sheetData>
  <mergeCells count="11">
    <mergeCell ref="A6:C6"/>
    <mergeCell ref="A18:C18"/>
    <mergeCell ref="A38:C38"/>
    <mergeCell ref="A39:C39"/>
    <mergeCell ref="A40:C40"/>
    <mergeCell ref="A4:A5"/>
    <mergeCell ref="B4:B5"/>
    <mergeCell ref="C4:C5"/>
    <mergeCell ref="D4:D5"/>
    <mergeCell ref="E4:F4"/>
    <mergeCell ref="G4:G5"/>
  </mergeCells>
  <phoneticPr fontId="3"/>
  <printOptions horizontalCentered="1"/>
  <pageMargins left="0.39370078740157483" right="0.39370078740157483" top="0.78740157480314965" bottom="0.55118110236220474" header="0.31496062992125984" footer="0.31496062992125984"/>
  <pageSetup paperSize="9" scale="87" orientation="landscape" horizontalDpi="1200" verticalDpi="1200" r:id="rId1"/>
  <headerFooter scaleWithDoc="0">
    <oddFooter>&amp;C&amp;"ＭＳ Ｐゴシック,標準"&amp;9( &amp;P / &amp;N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1"/>
  <sheetViews>
    <sheetView showGridLines="0" zoomScale="80" zoomScaleNormal="80" workbookViewId="0">
      <pane xSplit="4" ySplit="6" topLeftCell="E7" activePane="bottomRight" state="frozenSplit"/>
      <selection sqref="A1:E1"/>
      <selection pane="topRight" sqref="A1:E1"/>
      <selection pane="bottomLeft" sqref="A1:E1"/>
      <selection pane="bottomRight" sqref="A1:E1"/>
    </sheetView>
  </sheetViews>
  <sheetFormatPr defaultColWidth="9.140625" defaultRowHeight="13.5" customHeight="1"/>
  <cols>
    <col min="1" max="1" width="5.42578125" style="1308" customWidth="1"/>
    <col min="2" max="2" width="7.5703125" style="1308" customWidth="1"/>
    <col min="3" max="3" width="33.7109375" style="1308" customWidth="1"/>
    <col min="4" max="4" width="10.7109375" style="1308" customWidth="1"/>
    <col min="5" max="5" width="13.5703125" style="1308" customWidth="1"/>
    <col min="6" max="6" width="7.7109375" style="1308" customWidth="1"/>
    <col min="7" max="8" width="10.7109375" style="1308" customWidth="1"/>
    <col min="9" max="17" width="7.7109375" style="1308" customWidth="1"/>
    <col min="18" max="18" width="14.7109375" style="1308" customWidth="1"/>
    <col min="19" max="16384" width="9.140625" style="1304"/>
  </cols>
  <sheetData>
    <row r="1" spans="1:18" s="1656" customFormat="1" ht="21" customHeight="1">
      <c r="A1" s="1662" t="s">
        <v>923</v>
      </c>
      <c r="B1" s="1661"/>
      <c r="C1" s="1660"/>
      <c r="D1" s="1659"/>
      <c r="E1" s="1658"/>
      <c r="F1" s="1658"/>
      <c r="G1" s="1658"/>
      <c r="H1" s="1658"/>
      <c r="I1" s="1658"/>
      <c r="J1" s="1658"/>
      <c r="K1" s="1658"/>
      <c r="L1" s="1658"/>
      <c r="M1" s="1658"/>
      <c r="N1" s="1658"/>
      <c r="O1" s="1658"/>
      <c r="P1" s="1658"/>
      <c r="Q1" s="1658"/>
      <c r="R1" s="1657"/>
    </row>
    <row r="4" spans="1:18" ht="13.5" customHeight="1">
      <c r="A4" s="1408" t="s">
        <v>347</v>
      </c>
      <c r="B4" s="1407" t="s">
        <v>334</v>
      </c>
      <c r="C4" s="1543" t="s">
        <v>898</v>
      </c>
      <c r="D4" s="1655" t="s">
        <v>897</v>
      </c>
      <c r="E4" s="1399" t="s">
        <v>922</v>
      </c>
      <c r="F4" s="1398"/>
      <c r="G4" s="1398"/>
      <c r="H4" s="1398"/>
      <c r="I4" s="1402"/>
      <c r="J4" s="1399" t="s">
        <v>921</v>
      </c>
      <c r="K4" s="1398"/>
      <c r="L4" s="1398"/>
      <c r="M4" s="1398"/>
      <c r="N4" s="1398"/>
      <c r="O4" s="1398"/>
      <c r="P4" s="1398"/>
      <c r="Q4" s="1402"/>
      <c r="R4" s="1654" t="s">
        <v>895</v>
      </c>
    </row>
    <row r="5" spans="1:18" ht="13.5" customHeight="1">
      <c r="A5" s="1376"/>
      <c r="B5" s="1375"/>
      <c r="C5" s="1553"/>
      <c r="D5" s="1644"/>
      <c r="E5" s="1653" t="s">
        <v>920</v>
      </c>
      <c r="F5" s="1652" t="s">
        <v>919</v>
      </c>
      <c r="G5" s="1652" t="s">
        <v>918</v>
      </c>
      <c r="H5" s="1652" t="s">
        <v>917</v>
      </c>
      <c r="I5" s="1651" t="s">
        <v>916</v>
      </c>
      <c r="J5" s="1650" t="s">
        <v>39</v>
      </c>
      <c r="K5" s="1649"/>
      <c r="L5" s="1649"/>
      <c r="M5" s="1648"/>
      <c r="N5" s="1647" t="s">
        <v>915</v>
      </c>
      <c r="O5" s="1646"/>
      <c r="P5" s="1646"/>
      <c r="Q5" s="1645"/>
      <c r="R5" s="1641"/>
    </row>
    <row r="6" spans="1:18" ht="33.75">
      <c r="A6" s="1376"/>
      <c r="B6" s="1375"/>
      <c r="C6" s="1553"/>
      <c r="D6" s="1644"/>
      <c r="E6" s="1663"/>
      <c r="F6" s="1374"/>
      <c r="G6" s="1374"/>
      <c r="H6" s="1374"/>
      <c r="I6" s="1554"/>
      <c r="J6" s="1643" t="s">
        <v>914</v>
      </c>
      <c r="K6" s="1643" t="s">
        <v>913</v>
      </c>
      <c r="L6" s="1643" t="s">
        <v>912</v>
      </c>
      <c r="M6" s="1642" t="s">
        <v>911</v>
      </c>
      <c r="N6" s="1643" t="s">
        <v>914</v>
      </c>
      <c r="O6" s="1643" t="s">
        <v>913</v>
      </c>
      <c r="P6" s="1643" t="s">
        <v>912</v>
      </c>
      <c r="Q6" s="1642" t="s">
        <v>911</v>
      </c>
      <c r="R6" s="1641"/>
    </row>
    <row r="7" spans="1:18" ht="13.5" customHeight="1">
      <c r="A7" s="1570" t="s">
        <v>900</v>
      </c>
      <c r="B7" s="1571"/>
      <c r="C7" s="1572"/>
      <c r="D7" s="1565"/>
      <c r="E7" s="1664"/>
      <c r="F7" s="1665"/>
      <c r="G7" s="1665"/>
      <c r="H7" s="1665"/>
      <c r="I7" s="1564"/>
      <c r="J7" s="1666"/>
      <c r="K7" s="1666"/>
      <c r="L7" s="1666"/>
      <c r="M7" s="1667"/>
      <c r="N7" s="1666"/>
      <c r="O7" s="1666"/>
      <c r="P7" s="1666"/>
      <c r="Q7" s="1667"/>
      <c r="R7" s="1668"/>
    </row>
    <row r="8" spans="1:18" ht="13.5" customHeight="1">
      <c r="A8" s="1334">
        <v>2</v>
      </c>
      <c r="B8" s="1333">
        <v>201</v>
      </c>
      <c r="C8" s="1556" t="s">
        <v>323</v>
      </c>
      <c r="D8" s="1331">
        <v>56.25</v>
      </c>
      <c r="E8" s="1640" t="s">
        <v>924</v>
      </c>
      <c r="F8" s="1639">
        <v>60</v>
      </c>
      <c r="G8" s="1639"/>
      <c r="H8" s="1639"/>
      <c r="I8" s="1556"/>
      <c r="J8" s="1638">
        <v>0.9</v>
      </c>
      <c r="K8" s="1638">
        <v>1.5</v>
      </c>
      <c r="L8" s="1638"/>
      <c r="M8" s="1637"/>
      <c r="N8" s="1638">
        <v>0.5</v>
      </c>
      <c r="O8" s="1638">
        <v>0.9</v>
      </c>
      <c r="P8" s="1638"/>
      <c r="Q8" s="1637"/>
      <c r="R8" s="1317"/>
    </row>
    <row r="9" spans="1:18" ht="13.5" customHeight="1">
      <c r="A9" s="1334">
        <v>2</v>
      </c>
      <c r="B9" s="1333">
        <v>202</v>
      </c>
      <c r="C9" s="1534" t="s">
        <v>509</v>
      </c>
      <c r="D9" s="1331">
        <v>196.5</v>
      </c>
      <c r="E9" s="1640" t="s">
        <v>924</v>
      </c>
      <c r="F9" s="1639">
        <v>60</v>
      </c>
      <c r="G9" s="1639"/>
      <c r="H9" s="1639"/>
      <c r="I9" s="1556"/>
      <c r="J9" s="1638">
        <v>4.3</v>
      </c>
      <c r="K9" s="1638">
        <v>7.2</v>
      </c>
      <c r="L9" s="1638"/>
      <c r="M9" s="1637"/>
      <c r="N9" s="1638">
        <v>2.5</v>
      </c>
      <c r="O9" s="1638">
        <v>4.2</v>
      </c>
      <c r="P9" s="1638"/>
      <c r="Q9" s="1637"/>
      <c r="R9" s="1317"/>
    </row>
    <row r="10" spans="1:18" ht="13.5" customHeight="1">
      <c r="A10" s="1334">
        <v>2</v>
      </c>
      <c r="B10" s="1333">
        <v>203</v>
      </c>
      <c r="C10" s="1534" t="s">
        <v>540</v>
      </c>
      <c r="D10" s="1331">
        <v>5.7</v>
      </c>
      <c r="E10" s="1640" t="s">
        <v>924</v>
      </c>
      <c r="F10" s="1639">
        <v>60</v>
      </c>
      <c r="G10" s="1639"/>
      <c r="H10" s="1639"/>
      <c r="I10" s="1556"/>
      <c r="J10" s="1638">
        <v>0</v>
      </c>
      <c r="K10" s="1638">
        <v>0</v>
      </c>
      <c r="L10" s="1638"/>
      <c r="M10" s="1637"/>
      <c r="N10" s="1638">
        <v>0</v>
      </c>
      <c r="O10" s="1638">
        <v>0</v>
      </c>
      <c r="P10" s="1638"/>
      <c r="Q10" s="1637"/>
      <c r="R10" s="1317"/>
    </row>
    <row r="11" spans="1:18" ht="13.5" customHeight="1">
      <c r="A11" s="1334">
        <v>2</v>
      </c>
      <c r="B11" s="1333">
        <v>204</v>
      </c>
      <c r="C11" s="1534" t="s">
        <v>563</v>
      </c>
      <c r="D11" s="1331">
        <v>16.53</v>
      </c>
      <c r="E11" s="1640" t="s">
        <v>924</v>
      </c>
      <c r="F11" s="1639">
        <v>60</v>
      </c>
      <c r="G11" s="1639"/>
      <c r="H11" s="1639"/>
      <c r="I11" s="1556"/>
      <c r="J11" s="1638">
        <v>0.3</v>
      </c>
      <c r="K11" s="1638">
        <v>0.5</v>
      </c>
      <c r="L11" s="1638"/>
      <c r="M11" s="1637"/>
      <c r="N11" s="1638">
        <v>0.2</v>
      </c>
      <c r="O11" s="1638">
        <v>0.4</v>
      </c>
      <c r="P11" s="1638"/>
      <c r="Q11" s="1637"/>
      <c r="R11" s="1317"/>
    </row>
    <row r="12" spans="1:18" ht="13.5" customHeight="1">
      <c r="A12" s="1334">
        <v>2</v>
      </c>
      <c r="B12" s="1333">
        <v>205</v>
      </c>
      <c r="C12" s="1534" t="s">
        <v>588</v>
      </c>
      <c r="D12" s="1331">
        <v>17.600000000000001</v>
      </c>
      <c r="E12" s="1640" t="s">
        <v>924</v>
      </c>
      <c r="F12" s="1639">
        <v>60</v>
      </c>
      <c r="G12" s="1639"/>
      <c r="H12" s="1639"/>
      <c r="I12" s="1556"/>
      <c r="J12" s="1638">
        <v>0.3</v>
      </c>
      <c r="K12" s="1638">
        <v>0.5</v>
      </c>
      <c r="L12" s="1638"/>
      <c r="M12" s="1637"/>
      <c r="N12" s="1638">
        <v>0.2</v>
      </c>
      <c r="O12" s="1638">
        <v>0.4</v>
      </c>
      <c r="P12" s="1638"/>
      <c r="Q12" s="1637"/>
      <c r="R12" s="1317"/>
    </row>
    <row r="13" spans="1:18" ht="13.5" customHeight="1">
      <c r="A13" s="1334">
        <v>2</v>
      </c>
      <c r="B13" s="1333">
        <v>206</v>
      </c>
      <c r="C13" s="1534" t="s">
        <v>612</v>
      </c>
      <c r="D13" s="1331">
        <v>30</v>
      </c>
      <c r="E13" s="1640" t="s">
        <v>924</v>
      </c>
      <c r="F13" s="1639">
        <v>60</v>
      </c>
      <c r="G13" s="1639"/>
      <c r="H13" s="1639"/>
      <c r="I13" s="1556"/>
      <c r="J13" s="1638">
        <v>0</v>
      </c>
      <c r="K13" s="1638">
        <v>0</v>
      </c>
      <c r="L13" s="1638"/>
      <c r="M13" s="1637"/>
      <c r="N13" s="1638">
        <v>0</v>
      </c>
      <c r="O13" s="1638">
        <v>0</v>
      </c>
      <c r="P13" s="1638"/>
      <c r="Q13" s="1637"/>
      <c r="R13" s="1317"/>
    </row>
    <row r="14" spans="1:18" ht="13.5" customHeight="1">
      <c r="A14" s="1334">
        <v>2</v>
      </c>
      <c r="B14" s="1333">
        <v>207</v>
      </c>
      <c r="C14" s="1534" t="s">
        <v>634</v>
      </c>
      <c r="D14" s="1331">
        <v>108</v>
      </c>
      <c r="E14" s="1640" t="s">
        <v>924</v>
      </c>
      <c r="F14" s="1639">
        <v>60</v>
      </c>
      <c r="G14" s="1639"/>
      <c r="H14" s="1639"/>
      <c r="I14" s="1556"/>
      <c r="J14" s="1638">
        <v>2.4</v>
      </c>
      <c r="K14" s="1638">
        <v>4</v>
      </c>
      <c r="L14" s="1638"/>
      <c r="M14" s="1637"/>
      <c r="N14" s="1638">
        <v>1.4</v>
      </c>
      <c r="O14" s="1638">
        <v>2.4</v>
      </c>
      <c r="P14" s="1638"/>
      <c r="Q14" s="1637"/>
      <c r="R14" s="1317"/>
    </row>
    <row r="15" spans="1:18" ht="13.5" customHeight="1">
      <c r="A15" s="1334">
        <v>2</v>
      </c>
      <c r="B15" s="1333">
        <v>208</v>
      </c>
      <c r="C15" s="1534" t="s">
        <v>649</v>
      </c>
      <c r="D15" s="1331">
        <v>108</v>
      </c>
      <c r="E15" s="1640" t="s">
        <v>924</v>
      </c>
      <c r="F15" s="1639">
        <v>60</v>
      </c>
      <c r="G15" s="1639"/>
      <c r="H15" s="1639"/>
      <c r="I15" s="1556"/>
      <c r="J15" s="1638">
        <v>2.4</v>
      </c>
      <c r="K15" s="1638">
        <v>4</v>
      </c>
      <c r="L15" s="1638"/>
      <c r="M15" s="1637"/>
      <c r="N15" s="1638">
        <v>1.4</v>
      </c>
      <c r="O15" s="1638">
        <v>2.4</v>
      </c>
      <c r="P15" s="1638"/>
      <c r="Q15" s="1637"/>
      <c r="R15" s="1317"/>
    </row>
    <row r="16" spans="1:18" ht="13.5" customHeight="1">
      <c r="A16" s="1334">
        <v>2</v>
      </c>
      <c r="B16" s="1333">
        <v>209</v>
      </c>
      <c r="C16" s="1534" t="s">
        <v>665</v>
      </c>
      <c r="D16" s="1331">
        <v>35.25</v>
      </c>
      <c r="E16" s="1640" t="s">
        <v>924</v>
      </c>
      <c r="F16" s="1639">
        <v>60</v>
      </c>
      <c r="G16" s="1639"/>
      <c r="H16" s="1639"/>
      <c r="I16" s="1556"/>
      <c r="J16" s="1638">
        <v>2.7</v>
      </c>
      <c r="K16" s="1638">
        <v>4.5</v>
      </c>
      <c r="L16" s="1638"/>
      <c r="M16" s="1637"/>
      <c r="N16" s="1638">
        <v>1.6</v>
      </c>
      <c r="O16" s="1638">
        <v>2.7</v>
      </c>
      <c r="P16" s="1638"/>
      <c r="Q16" s="1637"/>
      <c r="R16" s="1317"/>
    </row>
    <row r="17" spans="1:18" ht="13.5" customHeight="1">
      <c r="A17" s="1334">
        <v>2</v>
      </c>
      <c r="B17" s="1333">
        <v>210</v>
      </c>
      <c r="C17" s="1534" t="s">
        <v>682</v>
      </c>
      <c r="D17" s="1331">
        <v>21</v>
      </c>
      <c r="E17" s="1640" t="s">
        <v>924</v>
      </c>
      <c r="F17" s="1639">
        <v>60</v>
      </c>
      <c r="G17" s="1639"/>
      <c r="H17" s="1639"/>
      <c r="I17" s="1556"/>
      <c r="J17" s="1638">
        <v>0.4</v>
      </c>
      <c r="K17" s="1638">
        <v>0.7</v>
      </c>
      <c r="L17" s="1638"/>
      <c r="M17" s="1637"/>
      <c r="N17" s="1638">
        <v>0.3</v>
      </c>
      <c r="O17" s="1638">
        <v>0.5</v>
      </c>
      <c r="P17" s="1638"/>
      <c r="Q17" s="1637"/>
      <c r="R17" s="1317"/>
    </row>
    <row r="18" spans="1:18" ht="13.5" customHeight="1" thickBot="1">
      <c r="A18" s="1437">
        <v>2</v>
      </c>
      <c r="B18" s="1438">
        <v>211</v>
      </c>
      <c r="C18" s="1558" t="s">
        <v>703</v>
      </c>
      <c r="D18" s="1440">
        <v>37.35</v>
      </c>
      <c r="E18" s="1669" t="s">
        <v>924</v>
      </c>
      <c r="F18" s="1670">
        <v>60</v>
      </c>
      <c r="G18" s="1670"/>
      <c r="H18" s="1670"/>
      <c r="I18" s="1583"/>
      <c r="J18" s="1671">
        <v>0</v>
      </c>
      <c r="K18" s="1671">
        <v>0</v>
      </c>
      <c r="L18" s="1671"/>
      <c r="M18" s="1672"/>
      <c r="N18" s="1671">
        <v>0</v>
      </c>
      <c r="O18" s="1671">
        <v>0</v>
      </c>
      <c r="P18" s="1671"/>
      <c r="Q18" s="1672"/>
      <c r="R18" s="1454"/>
    </row>
    <row r="19" spans="1:18" ht="13.5" customHeight="1" thickTop="1">
      <c r="A19" s="1580" t="s">
        <v>901</v>
      </c>
      <c r="B19" s="1581"/>
      <c r="C19" s="1582"/>
      <c r="D19" s="1576">
        <v>632.18000000000006</v>
      </c>
      <c r="E19" s="1673"/>
      <c r="F19" s="1575"/>
      <c r="G19" s="1575"/>
      <c r="H19" s="1575"/>
      <c r="I19" s="1575"/>
      <c r="J19" s="1674">
        <v>13.700000000000001</v>
      </c>
      <c r="K19" s="1675">
        <v>22.9</v>
      </c>
      <c r="L19" s="1675">
        <v>0</v>
      </c>
      <c r="M19" s="1675">
        <v>0</v>
      </c>
      <c r="N19" s="1674">
        <v>8.1000000000000014</v>
      </c>
      <c r="O19" s="1675">
        <v>13.900000000000002</v>
      </c>
      <c r="P19" s="1675">
        <v>0</v>
      </c>
      <c r="Q19" s="1675">
        <v>0</v>
      </c>
      <c r="R19" s="1676"/>
    </row>
    <row r="20" spans="1:18" ht="13.5" customHeight="1">
      <c r="A20" s="1334"/>
      <c r="B20" s="1333"/>
      <c r="C20" s="1556"/>
      <c r="D20" s="1331"/>
      <c r="E20" s="1640"/>
      <c r="F20" s="1639"/>
      <c r="G20" s="1639"/>
      <c r="H20" s="1639"/>
      <c r="I20" s="1556"/>
      <c r="J20" s="1638"/>
      <c r="K20" s="1638"/>
      <c r="L20" s="1638"/>
      <c r="M20" s="1637"/>
      <c r="N20" s="1638"/>
      <c r="O20" s="1638"/>
      <c r="P20" s="1638"/>
      <c r="Q20" s="1637"/>
      <c r="R20" s="1317"/>
    </row>
    <row r="21" spans="1:18" ht="13.5" customHeight="1">
      <c r="A21" s="1334"/>
      <c r="B21" s="1333"/>
      <c r="C21" s="1534"/>
      <c r="D21" s="1331"/>
      <c r="E21" s="1640"/>
      <c r="F21" s="1639"/>
      <c r="G21" s="1639"/>
      <c r="H21" s="1639"/>
      <c r="I21" s="1556"/>
      <c r="J21" s="1638"/>
      <c r="K21" s="1638"/>
      <c r="L21" s="1638"/>
      <c r="M21" s="1637"/>
      <c r="N21" s="1638"/>
      <c r="O21" s="1638"/>
      <c r="P21" s="1638"/>
      <c r="Q21" s="1637"/>
      <c r="R21" s="1317"/>
    </row>
    <row r="22" spans="1:18" ht="13.5" customHeight="1">
      <c r="A22" s="1334"/>
      <c r="B22" s="1333"/>
      <c r="C22" s="1534"/>
      <c r="D22" s="1331"/>
      <c r="E22" s="1640"/>
      <c r="F22" s="1639"/>
      <c r="G22" s="1639"/>
      <c r="H22" s="1639"/>
      <c r="I22" s="1556"/>
      <c r="J22" s="1638"/>
      <c r="K22" s="1638"/>
      <c r="L22" s="1638"/>
      <c r="M22" s="1637"/>
      <c r="N22" s="1638"/>
      <c r="O22" s="1638"/>
      <c r="P22" s="1638"/>
      <c r="Q22" s="1637"/>
      <c r="R22" s="1317"/>
    </row>
    <row r="23" spans="1:18" ht="13.5" customHeight="1">
      <c r="A23" s="1334"/>
      <c r="B23" s="1333"/>
      <c r="C23" s="1534"/>
      <c r="D23" s="1331"/>
      <c r="E23" s="1640"/>
      <c r="F23" s="1639"/>
      <c r="G23" s="1639"/>
      <c r="H23" s="1639"/>
      <c r="I23" s="1556"/>
      <c r="J23" s="1638"/>
      <c r="K23" s="1638"/>
      <c r="L23" s="1638"/>
      <c r="M23" s="1637"/>
      <c r="N23" s="1638"/>
      <c r="O23" s="1638"/>
      <c r="P23" s="1638"/>
      <c r="Q23" s="1637"/>
      <c r="R23" s="1317"/>
    </row>
    <row r="24" spans="1:18" ht="13.5" customHeight="1">
      <c r="A24" s="1334"/>
      <c r="B24" s="1333"/>
      <c r="C24" s="1534"/>
      <c r="D24" s="1331"/>
      <c r="E24" s="1640"/>
      <c r="F24" s="1639"/>
      <c r="G24" s="1639"/>
      <c r="H24" s="1639"/>
      <c r="I24" s="1556"/>
      <c r="J24" s="1638"/>
      <c r="K24" s="1638"/>
      <c r="L24" s="1638"/>
      <c r="M24" s="1637"/>
      <c r="N24" s="1638"/>
      <c r="O24" s="1638"/>
      <c r="P24" s="1638"/>
      <c r="Q24" s="1637"/>
      <c r="R24" s="1317"/>
    </row>
    <row r="25" spans="1:18" ht="13.5" customHeight="1">
      <c r="A25" s="1334"/>
      <c r="B25" s="1333"/>
      <c r="C25" s="1534"/>
      <c r="D25" s="1331"/>
      <c r="E25" s="1640"/>
      <c r="F25" s="1639"/>
      <c r="G25" s="1639"/>
      <c r="H25" s="1639"/>
      <c r="I25" s="1556"/>
      <c r="J25" s="1638"/>
      <c r="K25" s="1638"/>
      <c r="L25" s="1638"/>
      <c r="M25" s="1637"/>
      <c r="N25" s="1638"/>
      <c r="O25" s="1638"/>
      <c r="P25" s="1638"/>
      <c r="Q25" s="1637"/>
      <c r="R25" s="1317"/>
    </row>
    <row r="26" spans="1:18" ht="13.5" customHeight="1">
      <c r="A26" s="1334"/>
      <c r="B26" s="1333"/>
      <c r="C26" s="1534"/>
      <c r="D26" s="1331"/>
      <c r="E26" s="1640"/>
      <c r="F26" s="1639"/>
      <c r="G26" s="1639"/>
      <c r="H26" s="1639"/>
      <c r="I26" s="1556"/>
      <c r="J26" s="1638"/>
      <c r="K26" s="1638"/>
      <c r="L26" s="1638"/>
      <c r="M26" s="1637"/>
      <c r="N26" s="1638"/>
      <c r="O26" s="1638"/>
      <c r="P26" s="1638"/>
      <c r="Q26" s="1637"/>
      <c r="R26" s="1317"/>
    </row>
    <row r="27" spans="1:18" ht="13.5" customHeight="1">
      <c r="A27" s="1334"/>
      <c r="B27" s="1333"/>
      <c r="C27" s="1534"/>
      <c r="D27" s="1331"/>
      <c r="E27" s="1640"/>
      <c r="F27" s="1639"/>
      <c r="G27" s="1639"/>
      <c r="H27" s="1639"/>
      <c r="I27" s="1556"/>
      <c r="J27" s="1638"/>
      <c r="K27" s="1638"/>
      <c r="L27" s="1638"/>
      <c r="M27" s="1637"/>
      <c r="N27" s="1638"/>
      <c r="O27" s="1638"/>
      <c r="P27" s="1638"/>
      <c r="Q27" s="1637"/>
      <c r="R27" s="1317"/>
    </row>
    <row r="28" spans="1:18" ht="13.5" customHeight="1">
      <c r="A28" s="1334"/>
      <c r="B28" s="1333"/>
      <c r="C28" s="1534"/>
      <c r="D28" s="1331"/>
      <c r="E28" s="1640"/>
      <c r="F28" s="1639"/>
      <c r="G28" s="1639"/>
      <c r="H28" s="1639"/>
      <c r="I28" s="1556"/>
      <c r="J28" s="1638"/>
      <c r="K28" s="1638"/>
      <c r="L28" s="1638"/>
      <c r="M28" s="1637"/>
      <c r="N28" s="1638"/>
      <c r="O28" s="1638"/>
      <c r="P28" s="1638"/>
      <c r="Q28" s="1637"/>
      <c r="R28" s="1317"/>
    </row>
    <row r="29" spans="1:18" ht="13.5" customHeight="1">
      <c r="A29" s="1334"/>
      <c r="B29" s="1333"/>
      <c r="C29" s="1534"/>
      <c r="D29" s="1331"/>
      <c r="E29" s="1640"/>
      <c r="F29" s="1639"/>
      <c r="G29" s="1639"/>
      <c r="H29" s="1639"/>
      <c r="I29" s="1556"/>
      <c r="J29" s="1638"/>
      <c r="K29" s="1638"/>
      <c r="L29" s="1638"/>
      <c r="M29" s="1637"/>
      <c r="N29" s="1638"/>
      <c r="O29" s="1638"/>
      <c r="P29" s="1638"/>
      <c r="Q29" s="1637"/>
      <c r="R29" s="1317"/>
    </row>
    <row r="30" spans="1:18" ht="13.5" customHeight="1">
      <c r="A30" s="1334"/>
      <c r="B30" s="1333"/>
      <c r="C30" s="1534"/>
      <c r="D30" s="1331"/>
      <c r="E30" s="1640"/>
      <c r="F30" s="1639"/>
      <c r="G30" s="1639"/>
      <c r="H30" s="1639"/>
      <c r="I30" s="1556"/>
      <c r="J30" s="1638"/>
      <c r="K30" s="1638"/>
      <c r="L30" s="1638"/>
      <c r="M30" s="1637"/>
      <c r="N30" s="1638"/>
      <c r="O30" s="1638"/>
      <c r="P30" s="1638"/>
      <c r="Q30" s="1637"/>
      <c r="R30" s="1317"/>
    </row>
    <row r="31" spans="1:18" ht="13.5" customHeight="1">
      <c r="A31" s="1334"/>
      <c r="B31" s="1333"/>
      <c r="C31" s="1534"/>
      <c r="D31" s="1331"/>
      <c r="E31" s="1640"/>
      <c r="F31" s="1639"/>
      <c r="G31" s="1639"/>
      <c r="H31" s="1639"/>
      <c r="I31" s="1556"/>
      <c r="J31" s="1638"/>
      <c r="K31" s="1638"/>
      <c r="L31" s="1638"/>
      <c r="M31" s="1637"/>
      <c r="N31" s="1638"/>
      <c r="O31" s="1638"/>
      <c r="P31" s="1638"/>
      <c r="Q31" s="1637"/>
      <c r="R31" s="1317"/>
    </row>
    <row r="32" spans="1:18" ht="13.5" customHeight="1">
      <c r="A32" s="1334"/>
      <c r="B32" s="1333"/>
      <c r="C32" s="1534"/>
      <c r="D32" s="1331"/>
      <c r="E32" s="1640"/>
      <c r="F32" s="1639"/>
      <c r="G32" s="1639"/>
      <c r="H32" s="1639"/>
      <c r="I32" s="1556"/>
      <c r="J32" s="1638"/>
      <c r="K32" s="1638"/>
      <c r="L32" s="1638"/>
      <c r="M32" s="1637"/>
      <c r="N32" s="1638"/>
      <c r="O32" s="1638"/>
      <c r="P32" s="1638"/>
      <c r="Q32" s="1637"/>
      <c r="R32" s="1317"/>
    </row>
    <row r="33" spans="1:18" ht="13.5" customHeight="1">
      <c r="A33" s="1334"/>
      <c r="B33" s="1333"/>
      <c r="C33" s="1534"/>
      <c r="D33" s="1331"/>
      <c r="E33" s="1640"/>
      <c r="F33" s="1639"/>
      <c r="G33" s="1639"/>
      <c r="H33" s="1639"/>
      <c r="I33" s="1556"/>
      <c r="J33" s="1638"/>
      <c r="K33" s="1638"/>
      <c r="L33" s="1638"/>
      <c r="M33" s="1637"/>
      <c r="N33" s="1638"/>
      <c r="O33" s="1638"/>
      <c r="P33" s="1638"/>
      <c r="Q33" s="1637"/>
      <c r="R33" s="1317"/>
    </row>
    <row r="34" spans="1:18" ht="13.5" customHeight="1">
      <c r="A34" s="1334"/>
      <c r="B34" s="1333"/>
      <c r="C34" s="1534"/>
      <c r="D34" s="1331"/>
      <c r="E34" s="1640"/>
      <c r="F34" s="1639"/>
      <c r="G34" s="1639"/>
      <c r="H34" s="1639"/>
      <c r="I34" s="1556"/>
      <c r="J34" s="1638"/>
      <c r="K34" s="1638"/>
      <c r="L34" s="1638"/>
      <c r="M34" s="1637"/>
      <c r="N34" s="1638"/>
      <c r="O34" s="1638"/>
      <c r="P34" s="1638"/>
      <c r="Q34" s="1637"/>
      <c r="R34" s="1317"/>
    </row>
    <row r="35" spans="1:18" ht="13.5" customHeight="1">
      <c r="A35" s="1334"/>
      <c r="B35" s="1333"/>
      <c r="C35" s="1534"/>
      <c r="D35" s="1331"/>
      <c r="E35" s="1640"/>
      <c r="F35" s="1639"/>
      <c r="G35" s="1639"/>
      <c r="H35" s="1639"/>
      <c r="I35" s="1556"/>
      <c r="J35" s="1638"/>
      <c r="K35" s="1638"/>
      <c r="L35" s="1638"/>
      <c r="M35" s="1637"/>
      <c r="N35" s="1638"/>
      <c r="O35" s="1638"/>
      <c r="P35" s="1638"/>
      <c r="Q35" s="1637"/>
      <c r="R35" s="1317"/>
    </row>
    <row r="36" spans="1:18" ht="13.5" customHeight="1">
      <c r="A36" s="1334"/>
      <c r="B36" s="1333"/>
      <c r="C36" s="1534"/>
      <c r="D36" s="1331"/>
      <c r="E36" s="1640"/>
      <c r="F36" s="1639"/>
      <c r="G36" s="1639"/>
      <c r="H36" s="1639"/>
      <c r="I36" s="1556"/>
      <c r="J36" s="1638"/>
      <c r="K36" s="1638"/>
      <c r="L36" s="1638"/>
      <c r="M36" s="1637"/>
      <c r="N36" s="1638"/>
      <c r="O36" s="1638"/>
      <c r="P36" s="1638"/>
      <c r="Q36" s="1637"/>
      <c r="R36" s="1317"/>
    </row>
    <row r="37" spans="1:18" ht="13.5" customHeight="1">
      <c r="A37" s="1334"/>
      <c r="B37" s="1333"/>
      <c r="C37" s="1534"/>
      <c r="D37" s="1331"/>
      <c r="E37" s="1640"/>
      <c r="F37" s="1639"/>
      <c r="G37" s="1639"/>
      <c r="H37" s="1639"/>
      <c r="I37" s="1556"/>
      <c r="J37" s="1638"/>
      <c r="K37" s="1638"/>
      <c r="L37" s="1638"/>
      <c r="M37" s="1637"/>
      <c r="N37" s="1638"/>
      <c r="O37" s="1638"/>
      <c r="P37" s="1638"/>
      <c r="Q37" s="1637"/>
      <c r="R37" s="1317"/>
    </row>
    <row r="38" spans="1:18" ht="13.5" customHeight="1" thickBot="1">
      <c r="A38" s="1437"/>
      <c r="B38" s="1438"/>
      <c r="C38" s="1558"/>
      <c r="D38" s="1440"/>
      <c r="E38" s="1669"/>
      <c r="F38" s="1670"/>
      <c r="G38" s="1670"/>
      <c r="H38" s="1670"/>
      <c r="I38" s="1583"/>
      <c r="J38" s="1671"/>
      <c r="K38" s="1671"/>
      <c r="L38" s="1671"/>
      <c r="M38" s="1672"/>
      <c r="N38" s="1671"/>
      <c r="O38" s="1671"/>
      <c r="P38" s="1671"/>
      <c r="Q38" s="1672"/>
      <c r="R38" s="1454"/>
    </row>
    <row r="39" spans="1:18" ht="18.95" customHeight="1" thickTop="1">
      <c r="A39" s="1610" t="s">
        <v>910</v>
      </c>
      <c r="B39" s="1603"/>
      <c r="C39" s="1604"/>
      <c r="D39" s="1611">
        <v>632.18000000000006</v>
      </c>
      <c r="E39" s="1677"/>
      <c r="F39" s="1678"/>
      <c r="G39" s="1678"/>
      <c r="H39" s="1678"/>
      <c r="I39" s="1678"/>
      <c r="J39" s="1679">
        <v>13.700000000000001</v>
      </c>
      <c r="K39" s="1680">
        <v>22.9</v>
      </c>
      <c r="L39" s="1681">
        <v>0</v>
      </c>
      <c r="M39" s="1681">
        <v>0</v>
      </c>
      <c r="N39" s="1677">
        <v>8.1000000000000014</v>
      </c>
      <c r="O39" s="1681">
        <v>13.900000000000002</v>
      </c>
      <c r="P39" s="1681">
        <v>0</v>
      </c>
      <c r="Q39" s="1681">
        <v>0</v>
      </c>
      <c r="R39" s="1682"/>
    </row>
    <row r="40" spans="1:18" ht="13.5" customHeight="1">
      <c r="A40" s="1616" t="s">
        <v>925</v>
      </c>
      <c r="B40" s="1557"/>
      <c r="C40" s="1617"/>
      <c r="D40" s="1618">
        <v>632.18000000000006</v>
      </c>
      <c r="E40" s="1683"/>
      <c r="F40" s="1684"/>
      <c r="G40" s="1684"/>
      <c r="H40" s="1684"/>
      <c r="I40" s="1684"/>
      <c r="J40" s="1636">
        <v>21.7</v>
      </c>
      <c r="K40" s="1685"/>
      <c r="L40" s="1685"/>
      <c r="M40" s="1685"/>
      <c r="N40" s="1619">
        <v>12.8</v>
      </c>
      <c r="O40" s="1685"/>
      <c r="P40" s="1685"/>
      <c r="Q40" s="1685"/>
      <c r="R40" s="1686"/>
    </row>
    <row r="48" spans="1:18" s="1308" customFormat="1" ht="13.5" customHeight="1">
      <c r="C48" s="1315"/>
      <c r="D48" s="1315"/>
      <c r="E48" s="1315"/>
      <c r="M48" s="1312"/>
      <c r="Q48" s="1312"/>
    </row>
    <row r="49" spans="3:17" s="1308" customFormat="1" ht="13.5" customHeight="1">
      <c r="C49" s="1315"/>
      <c r="D49" s="1315"/>
      <c r="E49" s="1315"/>
      <c r="F49" s="1316"/>
      <c r="G49" s="1316"/>
      <c r="H49" s="1316"/>
      <c r="I49" s="1316"/>
      <c r="J49" s="1316"/>
      <c r="K49" s="1316"/>
      <c r="L49" s="1316"/>
      <c r="M49" s="1312"/>
      <c r="N49" s="1316"/>
      <c r="O49" s="1316"/>
      <c r="P49" s="1316"/>
      <c r="Q49" s="1312"/>
    </row>
    <row r="50" spans="3:17" s="1308" customFormat="1" ht="13.5" customHeight="1">
      <c r="C50" s="1315"/>
      <c r="D50" s="1315"/>
      <c r="E50" s="1315"/>
      <c r="F50" s="1314"/>
      <c r="G50" s="1314"/>
      <c r="H50" s="1314"/>
      <c r="I50" s="1314"/>
      <c r="J50" s="1314"/>
      <c r="K50" s="1314"/>
      <c r="L50" s="1314"/>
      <c r="M50" s="1312"/>
      <c r="N50" s="1314"/>
      <c r="O50" s="1314"/>
      <c r="P50" s="1314"/>
      <c r="Q50" s="1312"/>
    </row>
    <row r="51" spans="3:17" s="1308" customFormat="1" ht="13.5" customHeight="1">
      <c r="C51" s="1313"/>
      <c r="D51" s="1313"/>
      <c r="E51" s="1313"/>
      <c r="F51" s="1312"/>
      <c r="G51" s="1312"/>
      <c r="H51" s="1312"/>
      <c r="I51" s="1312"/>
      <c r="J51" s="1312"/>
      <c r="K51" s="1312"/>
      <c r="L51" s="1312"/>
      <c r="N51" s="1312"/>
      <c r="O51" s="1312"/>
      <c r="P51" s="1312"/>
    </row>
  </sheetData>
  <mergeCells count="18">
    <mergeCell ref="A7:C7"/>
    <mergeCell ref="A19:C19"/>
    <mergeCell ref="A39:C39"/>
    <mergeCell ref="A40:C40"/>
    <mergeCell ref="A4:A6"/>
    <mergeCell ref="B4:B6"/>
    <mergeCell ref="C4:C6"/>
    <mergeCell ref="D4:D6"/>
    <mergeCell ref="E4:I4"/>
    <mergeCell ref="J4:Q4"/>
    <mergeCell ref="R4:R6"/>
    <mergeCell ref="E5:E6"/>
    <mergeCell ref="F5:F6"/>
    <mergeCell ref="G5:G6"/>
    <mergeCell ref="H5:H6"/>
    <mergeCell ref="I5:I6"/>
    <mergeCell ref="J5:M5"/>
    <mergeCell ref="N5:Q5"/>
  </mergeCells>
  <phoneticPr fontId="3"/>
  <pageMargins left="0.39370078740157483" right="0.39370078740157483" top="0.78740157480314965" bottom="0.55118110236220474" header="0.31496062992125984" footer="0.31496062992125984"/>
  <pageSetup paperSize="9" scale="75" fitToHeight="0" orientation="landscape" horizontalDpi="1200" verticalDpi="1200" r:id="rId1"/>
  <headerFooter scaleWithDoc="0">
    <oddFooter>&amp;C&amp;"ＭＳ Ｐゴシック,標準"&amp;9( &amp;P /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39"/>
  <sheetViews>
    <sheetView showGridLines="0" zoomScale="80" zoomScaleNormal="80" workbookViewId="0">
      <selection sqref="A1:E1"/>
    </sheetView>
  </sheetViews>
  <sheetFormatPr defaultColWidth="9.140625" defaultRowHeight="20.100000000000001" customHeight="1"/>
  <cols>
    <col min="1" max="1" width="9.140625" style="15"/>
    <col min="2" max="13" width="8.28515625" style="15" customWidth="1"/>
    <col min="14" max="15" width="9.140625" style="15"/>
    <col min="16" max="27" width="8.28515625" style="15" customWidth="1"/>
    <col min="28" max="29" width="9.140625" style="15" customWidth="1"/>
    <col min="30" max="16384" width="9.140625" style="15"/>
  </cols>
  <sheetData>
    <row r="1" spans="1:27" s="14" customFormat="1" ht="30" customHeight="1">
      <c r="A1" s="10" t="s">
        <v>3</v>
      </c>
      <c r="B1" s="11"/>
      <c r="C1" s="11"/>
      <c r="D1" s="11"/>
      <c r="E1" s="11"/>
      <c r="F1" s="11"/>
      <c r="G1" s="11"/>
      <c r="H1" s="11"/>
      <c r="I1" s="11"/>
      <c r="J1" s="11"/>
      <c r="K1" s="11"/>
      <c r="L1" s="11"/>
      <c r="M1" s="11"/>
      <c r="N1" s="12"/>
      <c r="O1" s="12"/>
      <c r="P1" s="11"/>
      <c r="Q1" s="11"/>
      <c r="R1" s="11"/>
      <c r="S1" s="11"/>
      <c r="T1" s="11"/>
      <c r="U1" s="11"/>
      <c r="V1" s="11"/>
      <c r="W1" s="11"/>
      <c r="X1" s="11"/>
      <c r="Y1" s="11"/>
      <c r="Z1" s="11"/>
      <c r="AA1" s="13"/>
    </row>
    <row r="2" spans="1:27" ht="21" customHeight="1">
      <c r="B2" s="16"/>
      <c r="C2" s="16"/>
      <c r="D2" s="16"/>
      <c r="E2" s="16"/>
      <c r="F2" s="16"/>
      <c r="G2" s="16"/>
      <c r="H2" s="16"/>
      <c r="I2" s="16"/>
      <c r="J2" s="16"/>
      <c r="K2" s="16"/>
      <c r="L2" s="16"/>
      <c r="M2" s="16"/>
      <c r="P2" s="16"/>
      <c r="Q2" s="16"/>
      <c r="R2" s="16"/>
      <c r="S2" s="16"/>
      <c r="T2" s="16"/>
      <c r="U2" s="16"/>
      <c r="V2" s="16"/>
      <c r="W2" s="16"/>
      <c r="X2" s="16"/>
      <c r="Y2" s="16"/>
      <c r="Z2" s="16"/>
      <c r="AA2" s="16"/>
    </row>
    <row r="3" spans="1:27" ht="20.100000000000001" customHeight="1">
      <c r="B3" s="17"/>
      <c r="C3" s="17"/>
      <c r="D3" s="17"/>
      <c r="E3" s="17"/>
      <c r="F3" s="17"/>
      <c r="G3" s="17"/>
      <c r="H3" s="17"/>
      <c r="I3" s="17"/>
      <c r="J3" s="17"/>
      <c r="K3" s="17"/>
      <c r="L3" s="17"/>
      <c r="M3" s="17"/>
      <c r="P3" s="17"/>
      <c r="Q3" s="17"/>
      <c r="R3" s="17"/>
      <c r="S3" s="17"/>
      <c r="T3" s="17"/>
      <c r="U3" s="17"/>
      <c r="V3" s="17"/>
      <c r="W3" s="17"/>
      <c r="X3" s="17"/>
      <c r="Y3" s="17"/>
      <c r="Z3" s="17"/>
      <c r="AA3" s="17"/>
    </row>
    <row r="4" spans="1:27" ht="20.100000000000001" customHeight="1">
      <c r="B4" s="17"/>
      <c r="C4" s="17"/>
      <c r="D4" s="17"/>
      <c r="E4" s="17"/>
      <c r="F4" s="17"/>
      <c r="G4" s="17"/>
      <c r="H4" s="17"/>
      <c r="I4" s="17"/>
      <c r="J4" s="17"/>
      <c r="K4" s="17"/>
      <c r="L4" s="17"/>
      <c r="M4" s="17"/>
      <c r="P4" s="17"/>
      <c r="Q4" s="17"/>
      <c r="R4" s="17"/>
      <c r="S4" s="17"/>
      <c r="T4" s="17"/>
      <c r="U4" s="17"/>
      <c r="V4" s="17"/>
      <c r="W4" s="17"/>
      <c r="X4" s="17"/>
      <c r="Y4" s="17"/>
      <c r="Z4" s="17"/>
      <c r="AA4" s="17"/>
    </row>
    <row r="5" spans="1:27" ht="20.100000000000001" customHeight="1">
      <c r="B5" s="17"/>
      <c r="C5" s="17"/>
      <c r="D5" s="17"/>
      <c r="E5" s="17"/>
      <c r="F5" s="17"/>
      <c r="G5" s="17"/>
      <c r="H5" s="17"/>
      <c r="I5" s="17"/>
      <c r="J5" s="17"/>
      <c r="K5" s="17"/>
      <c r="L5" s="17"/>
      <c r="M5" s="17"/>
      <c r="P5" s="17"/>
      <c r="Q5" s="17"/>
      <c r="R5" s="17"/>
      <c r="S5" s="17"/>
      <c r="T5" s="17"/>
      <c r="U5" s="17"/>
      <c r="V5" s="17"/>
      <c r="W5" s="17"/>
      <c r="X5" s="17"/>
      <c r="Y5" s="17"/>
      <c r="Z5" s="17"/>
      <c r="AA5" s="17"/>
    </row>
    <row r="6" spans="1:27" ht="20.100000000000001" customHeight="1">
      <c r="B6" s="17"/>
      <c r="C6" s="17"/>
      <c r="D6" s="17"/>
      <c r="E6" s="17"/>
      <c r="F6" s="17"/>
      <c r="G6" s="17"/>
      <c r="H6" s="17"/>
      <c r="I6" s="17"/>
      <c r="J6" s="17"/>
      <c r="K6" s="17"/>
      <c r="L6" s="17"/>
      <c r="M6" s="17"/>
      <c r="P6" s="17"/>
      <c r="Q6" s="17"/>
      <c r="R6" s="17"/>
      <c r="S6" s="17"/>
      <c r="T6" s="17"/>
      <c r="U6" s="17"/>
      <c r="V6" s="17"/>
      <c r="W6" s="17"/>
      <c r="X6" s="17"/>
      <c r="Y6" s="17"/>
      <c r="Z6" s="17"/>
      <c r="AA6" s="17"/>
    </row>
    <row r="7" spans="1:27" ht="20.100000000000001" customHeight="1">
      <c r="B7" s="17"/>
      <c r="C7" s="17"/>
      <c r="D7" s="17"/>
      <c r="E7" s="17"/>
      <c r="F7" s="17"/>
      <c r="G7" s="17"/>
      <c r="H7" s="17"/>
      <c r="I7" s="17"/>
      <c r="J7" s="17"/>
      <c r="K7" s="17"/>
      <c r="L7" s="17"/>
      <c r="M7" s="17"/>
      <c r="P7" s="17"/>
      <c r="Q7" s="17"/>
      <c r="R7" s="17"/>
      <c r="S7" s="17"/>
      <c r="T7" s="17"/>
      <c r="U7" s="17"/>
      <c r="V7" s="17"/>
      <c r="W7" s="17"/>
      <c r="X7" s="17"/>
      <c r="Y7" s="17"/>
      <c r="Z7" s="17"/>
      <c r="AA7" s="17"/>
    </row>
    <row r="8" spans="1:27" ht="20.100000000000001" customHeight="1">
      <c r="B8" s="17"/>
      <c r="C8" s="17"/>
      <c r="D8" s="17"/>
      <c r="E8" s="17"/>
      <c r="F8" s="17"/>
      <c r="G8" s="17"/>
      <c r="H8" s="17"/>
      <c r="I8" s="17"/>
      <c r="J8" s="17"/>
      <c r="K8" s="17"/>
      <c r="L8" s="17"/>
      <c r="M8" s="17"/>
      <c r="P8" s="17"/>
      <c r="Q8" s="17"/>
      <c r="R8" s="17"/>
      <c r="S8" s="17"/>
      <c r="T8" s="17"/>
      <c r="U8" s="17"/>
      <c r="V8" s="17"/>
      <c r="W8" s="17"/>
      <c r="X8" s="17"/>
      <c r="Y8" s="17"/>
      <c r="Z8" s="17"/>
      <c r="AA8" s="17"/>
    </row>
    <row r="9" spans="1:27" ht="20.100000000000001" customHeight="1">
      <c r="B9" s="17"/>
      <c r="C9" s="17"/>
      <c r="D9" s="17"/>
      <c r="E9" s="17"/>
      <c r="F9" s="17"/>
      <c r="G9" s="17"/>
      <c r="H9" s="17"/>
      <c r="I9" s="17"/>
      <c r="J9" s="17"/>
      <c r="K9" s="17"/>
      <c r="L9" s="17"/>
      <c r="M9" s="17"/>
      <c r="P9" s="17"/>
      <c r="Q9" s="17"/>
      <c r="R9" s="17"/>
      <c r="S9" s="17"/>
      <c r="T9" s="17"/>
      <c r="U9" s="17"/>
      <c r="V9" s="17"/>
      <c r="W9" s="17"/>
      <c r="X9" s="17"/>
      <c r="Y9" s="17"/>
      <c r="Z9" s="17"/>
      <c r="AA9" s="17"/>
    </row>
    <row r="10" spans="1:27" ht="20.100000000000001" customHeight="1">
      <c r="B10" s="17"/>
      <c r="C10" s="17"/>
      <c r="D10" s="17"/>
      <c r="E10" s="17"/>
      <c r="F10" s="17"/>
      <c r="G10" s="17"/>
      <c r="H10" s="17"/>
      <c r="I10" s="17"/>
      <c r="J10" s="17"/>
      <c r="K10" s="17"/>
      <c r="L10" s="17"/>
      <c r="M10" s="17"/>
      <c r="P10" s="17"/>
      <c r="Q10" s="17"/>
      <c r="R10" s="17"/>
      <c r="S10" s="17"/>
      <c r="T10" s="17"/>
      <c r="U10" s="17"/>
      <c r="V10" s="17"/>
      <c r="W10" s="17"/>
      <c r="X10" s="17"/>
      <c r="Y10" s="17"/>
      <c r="Z10" s="17"/>
      <c r="AA10" s="17"/>
    </row>
    <row r="11" spans="1:27" ht="20.100000000000001" customHeight="1">
      <c r="B11" s="17"/>
      <c r="C11" s="17"/>
      <c r="D11" s="17"/>
      <c r="E11" s="17"/>
      <c r="F11" s="17"/>
      <c r="G11" s="17"/>
      <c r="H11" s="17"/>
      <c r="I11" s="17"/>
      <c r="J11" s="17"/>
      <c r="K11" s="17"/>
      <c r="L11" s="17"/>
      <c r="M11" s="17"/>
      <c r="P11" s="17"/>
      <c r="Q11" s="17"/>
      <c r="R11" s="17"/>
      <c r="S11" s="17"/>
      <c r="T11" s="17"/>
      <c r="U11" s="17"/>
      <c r="V11" s="17"/>
      <c r="W11" s="17"/>
      <c r="X11" s="17"/>
      <c r="Y11" s="17"/>
      <c r="Z11" s="17"/>
      <c r="AA11" s="17"/>
    </row>
    <row r="12" spans="1:27" ht="20.100000000000001" customHeight="1">
      <c r="B12" s="17"/>
      <c r="C12" s="17"/>
      <c r="D12" s="17"/>
      <c r="E12" s="17"/>
      <c r="F12" s="17"/>
      <c r="G12" s="17"/>
      <c r="H12" s="17"/>
      <c r="I12" s="17"/>
      <c r="J12" s="17"/>
      <c r="K12" s="17"/>
      <c r="L12" s="17"/>
      <c r="M12" s="17"/>
      <c r="P12" s="17"/>
      <c r="Q12" s="17"/>
      <c r="R12" s="17"/>
      <c r="S12" s="17"/>
      <c r="T12" s="17"/>
      <c r="U12" s="17"/>
      <c r="V12" s="17"/>
      <c r="W12" s="17"/>
      <c r="X12" s="17"/>
      <c r="Y12" s="17"/>
      <c r="Z12" s="17"/>
      <c r="AA12" s="17"/>
    </row>
    <row r="13" spans="1:27" ht="20.100000000000001" customHeight="1">
      <c r="B13" s="17"/>
      <c r="C13" s="17"/>
      <c r="D13" s="17"/>
      <c r="E13" s="17"/>
      <c r="F13" s="17"/>
      <c r="G13" s="17"/>
      <c r="H13" s="17"/>
      <c r="I13" s="17"/>
      <c r="J13" s="17"/>
      <c r="K13" s="17"/>
      <c r="L13" s="17"/>
      <c r="M13" s="17"/>
      <c r="P13" s="17"/>
      <c r="Q13" s="17"/>
      <c r="R13" s="17"/>
      <c r="S13" s="17"/>
      <c r="T13" s="17"/>
      <c r="U13" s="17"/>
      <c r="V13" s="17"/>
      <c r="W13" s="17"/>
      <c r="X13" s="17"/>
      <c r="Y13" s="17"/>
      <c r="Z13" s="17"/>
      <c r="AA13" s="17"/>
    </row>
    <row r="14" spans="1:27" ht="20.100000000000001" customHeight="1">
      <c r="B14" s="17"/>
      <c r="C14" s="17"/>
      <c r="D14" s="17"/>
      <c r="E14" s="17"/>
      <c r="F14" s="17"/>
      <c r="G14" s="17"/>
      <c r="H14" s="17"/>
      <c r="I14" s="17"/>
      <c r="J14" s="17"/>
      <c r="K14" s="17"/>
      <c r="L14" s="17"/>
      <c r="M14" s="17"/>
      <c r="P14" s="17"/>
      <c r="Q14" s="17"/>
      <c r="R14" s="17"/>
      <c r="S14" s="17"/>
      <c r="T14" s="17"/>
      <c r="U14" s="17"/>
      <c r="V14" s="17"/>
      <c r="W14" s="17"/>
      <c r="X14" s="17"/>
      <c r="Y14" s="17"/>
      <c r="Z14" s="17"/>
      <c r="AA14" s="17"/>
    </row>
    <row r="15" spans="1:27" ht="20.100000000000001" customHeight="1">
      <c r="B15" s="17"/>
      <c r="C15" s="17"/>
      <c r="D15" s="17"/>
      <c r="E15" s="17"/>
      <c r="F15" s="17"/>
      <c r="G15" s="17"/>
      <c r="H15" s="17"/>
      <c r="I15" s="17"/>
      <c r="J15" s="17"/>
      <c r="K15" s="17"/>
      <c r="L15" s="17"/>
      <c r="M15" s="17"/>
      <c r="P15" s="17"/>
      <c r="Q15" s="17"/>
      <c r="R15" s="17"/>
      <c r="S15" s="17"/>
      <c r="T15" s="17"/>
      <c r="U15" s="17"/>
      <c r="V15" s="17"/>
      <c r="W15" s="17"/>
      <c r="X15" s="17"/>
      <c r="Y15" s="17"/>
      <c r="Z15" s="17"/>
      <c r="AA15" s="17"/>
    </row>
    <row r="16" spans="1:27" ht="20.100000000000001" customHeight="1">
      <c r="B16" s="17"/>
      <c r="C16" s="17"/>
      <c r="D16" s="17"/>
      <c r="E16" s="17"/>
      <c r="F16" s="17"/>
      <c r="G16" s="17"/>
      <c r="H16" s="17"/>
      <c r="I16" s="17"/>
      <c r="J16" s="17"/>
      <c r="K16" s="17"/>
      <c r="L16" s="17"/>
      <c r="M16" s="17"/>
      <c r="P16" s="17"/>
      <c r="Q16" s="17"/>
      <c r="R16" s="17"/>
      <c r="S16" s="17"/>
      <c r="T16" s="17"/>
      <c r="U16" s="17"/>
      <c r="V16" s="17"/>
      <c r="W16" s="17"/>
      <c r="X16" s="17"/>
      <c r="Y16" s="17"/>
      <c r="Z16" s="17"/>
      <c r="AA16" s="17"/>
    </row>
    <row r="17" spans="2:27" ht="20.100000000000001" customHeight="1">
      <c r="B17" s="17"/>
      <c r="C17" s="17"/>
      <c r="D17" s="17"/>
      <c r="E17" s="17"/>
      <c r="F17" s="17"/>
      <c r="G17" s="17"/>
      <c r="H17" s="17"/>
      <c r="I17" s="17"/>
      <c r="J17" s="17"/>
      <c r="K17" s="17"/>
      <c r="L17" s="17"/>
      <c r="M17" s="17"/>
      <c r="P17" s="17"/>
      <c r="Q17" s="17"/>
      <c r="R17" s="17"/>
      <c r="S17" s="17"/>
      <c r="T17" s="17"/>
      <c r="U17" s="17"/>
      <c r="V17" s="17"/>
      <c r="W17" s="17"/>
      <c r="X17" s="17"/>
      <c r="Y17" s="17"/>
      <c r="Z17" s="17"/>
      <c r="AA17" s="17"/>
    </row>
    <row r="18" spans="2:27" ht="20.100000000000001" customHeight="1">
      <c r="B18" s="17"/>
      <c r="C18" s="17"/>
      <c r="D18" s="17"/>
      <c r="E18" s="17"/>
      <c r="F18" s="17"/>
      <c r="G18" s="17"/>
      <c r="H18" s="17"/>
      <c r="I18" s="17"/>
      <c r="J18" s="17"/>
      <c r="K18" s="17"/>
      <c r="L18" s="17"/>
      <c r="M18" s="17"/>
      <c r="P18" s="17"/>
      <c r="Q18" s="17"/>
      <c r="R18" s="17"/>
      <c r="S18" s="17"/>
      <c r="T18" s="17"/>
      <c r="U18" s="17"/>
      <c r="V18" s="17"/>
      <c r="W18" s="17"/>
      <c r="X18" s="17"/>
      <c r="Y18" s="17"/>
      <c r="Z18" s="17"/>
      <c r="AA18" s="17"/>
    </row>
    <row r="19" spans="2:27" ht="20.100000000000001" customHeight="1">
      <c r="B19" s="17"/>
      <c r="C19" s="17"/>
      <c r="D19" s="17"/>
      <c r="E19" s="17"/>
      <c r="F19" s="17"/>
      <c r="G19" s="17"/>
      <c r="H19" s="17"/>
      <c r="I19" s="17"/>
      <c r="J19" s="17"/>
      <c r="K19" s="17"/>
      <c r="L19" s="17"/>
      <c r="M19" s="17"/>
      <c r="P19" s="17"/>
      <c r="Q19" s="17"/>
      <c r="R19" s="17"/>
      <c r="S19" s="17"/>
      <c r="T19" s="17"/>
      <c r="U19" s="17"/>
      <c r="V19" s="17"/>
      <c r="W19" s="17"/>
      <c r="X19" s="17"/>
      <c r="Y19" s="17"/>
      <c r="Z19" s="17"/>
      <c r="AA19" s="17"/>
    </row>
    <row r="20" spans="2:27" ht="20.100000000000001" customHeight="1">
      <c r="B20" s="17"/>
      <c r="C20" s="17"/>
      <c r="D20" s="17"/>
      <c r="E20" s="17"/>
      <c r="F20" s="17"/>
      <c r="G20" s="17"/>
      <c r="H20" s="17"/>
      <c r="I20" s="17"/>
      <c r="J20" s="17"/>
      <c r="K20" s="17"/>
      <c r="L20" s="17"/>
      <c r="M20" s="17"/>
      <c r="P20" s="17"/>
      <c r="Q20" s="17"/>
      <c r="R20" s="17"/>
      <c r="S20" s="17"/>
      <c r="T20" s="17"/>
      <c r="U20" s="17"/>
      <c r="V20" s="17"/>
      <c r="W20" s="17"/>
      <c r="X20" s="17"/>
      <c r="Y20" s="17"/>
      <c r="Z20" s="17"/>
      <c r="AA20" s="17"/>
    </row>
    <row r="21" spans="2:27" ht="20.100000000000001" customHeight="1">
      <c r="B21" s="17"/>
      <c r="C21" s="17"/>
      <c r="D21" s="17"/>
      <c r="E21" s="17"/>
      <c r="F21" s="17"/>
      <c r="G21" s="17"/>
      <c r="H21" s="17"/>
      <c r="I21" s="17"/>
      <c r="J21" s="17"/>
      <c r="K21" s="17"/>
      <c r="L21" s="17"/>
      <c r="M21" s="17"/>
      <c r="P21" s="17"/>
      <c r="Q21" s="17"/>
      <c r="R21" s="17"/>
      <c r="S21" s="17"/>
      <c r="T21" s="17"/>
      <c r="U21" s="17"/>
      <c r="V21" s="17"/>
      <c r="W21" s="17"/>
      <c r="X21" s="17"/>
      <c r="Y21" s="17"/>
      <c r="Z21" s="17"/>
      <c r="AA21" s="17"/>
    </row>
    <row r="22" spans="2:27" ht="20.100000000000001" customHeight="1">
      <c r="B22" s="17"/>
      <c r="C22" s="17"/>
      <c r="D22" s="17"/>
      <c r="E22" s="17"/>
      <c r="F22" s="17"/>
      <c r="G22" s="17"/>
      <c r="H22" s="17"/>
      <c r="I22" s="17"/>
      <c r="J22" s="17"/>
      <c r="K22" s="17"/>
      <c r="L22" s="17"/>
      <c r="M22" s="17"/>
      <c r="P22" s="17"/>
      <c r="Q22" s="17"/>
      <c r="R22" s="17"/>
      <c r="S22" s="17"/>
      <c r="T22" s="17"/>
      <c r="U22" s="17"/>
      <c r="V22" s="17"/>
      <c r="W22" s="17"/>
      <c r="X22" s="17"/>
      <c r="Y22" s="17"/>
      <c r="Z22" s="17"/>
      <c r="AA22" s="17"/>
    </row>
    <row r="23" spans="2:27" ht="20.100000000000001" customHeight="1">
      <c r="B23" s="17"/>
      <c r="C23" s="17"/>
      <c r="D23" s="17"/>
      <c r="E23" s="17"/>
      <c r="F23" s="17"/>
      <c r="G23" s="17"/>
      <c r="H23" s="17"/>
      <c r="I23" s="17"/>
      <c r="J23" s="17"/>
      <c r="K23" s="17"/>
      <c r="L23" s="17"/>
      <c r="M23" s="17"/>
      <c r="P23" s="17"/>
      <c r="Q23" s="17"/>
      <c r="R23" s="17"/>
      <c r="S23" s="17"/>
      <c r="T23" s="17"/>
      <c r="U23" s="17"/>
      <c r="V23" s="17"/>
      <c r="W23" s="17"/>
      <c r="X23" s="17"/>
      <c r="Y23" s="17"/>
      <c r="Z23" s="17"/>
      <c r="AA23" s="17"/>
    </row>
    <row r="24" spans="2:27" ht="20.100000000000001" customHeight="1">
      <c r="B24" s="17"/>
      <c r="C24" s="17"/>
      <c r="D24" s="17"/>
      <c r="E24" s="17"/>
      <c r="F24" s="17"/>
      <c r="G24" s="17"/>
      <c r="H24" s="17"/>
      <c r="I24" s="17"/>
      <c r="J24" s="17"/>
      <c r="K24" s="17"/>
      <c r="L24" s="17"/>
      <c r="M24" s="17"/>
      <c r="P24" s="17"/>
      <c r="Q24" s="17"/>
      <c r="R24" s="17"/>
      <c r="S24" s="17"/>
      <c r="T24" s="17"/>
      <c r="U24" s="17"/>
      <c r="V24" s="17"/>
      <c r="W24" s="17"/>
      <c r="X24" s="17"/>
      <c r="Y24" s="17"/>
      <c r="Z24" s="17"/>
      <c r="AA24" s="17"/>
    </row>
    <row r="25" spans="2:27" ht="20.100000000000001" customHeight="1">
      <c r="B25" s="17"/>
      <c r="C25" s="17"/>
      <c r="D25" s="17"/>
      <c r="E25" s="17"/>
      <c r="F25" s="17"/>
      <c r="G25" s="17"/>
      <c r="H25" s="17"/>
      <c r="I25" s="17"/>
      <c r="J25" s="17"/>
      <c r="K25" s="17"/>
      <c r="L25" s="17"/>
      <c r="M25" s="17"/>
      <c r="P25" s="17"/>
      <c r="Q25" s="17"/>
      <c r="R25" s="17"/>
      <c r="S25" s="17"/>
      <c r="T25" s="17"/>
      <c r="U25" s="17"/>
      <c r="V25" s="17"/>
      <c r="W25" s="17"/>
      <c r="X25" s="17"/>
      <c r="Y25" s="17"/>
      <c r="Z25" s="17"/>
      <c r="AA25" s="17"/>
    </row>
    <row r="26" spans="2:27" ht="20.100000000000001" customHeight="1">
      <c r="B26" s="17"/>
      <c r="C26" s="17"/>
      <c r="D26" s="17"/>
      <c r="E26" s="17"/>
      <c r="F26" s="17"/>
      <c r="G26" s="17"/>
      <c r="H26" s="17"/>
      <c r="I26" s="17"/>
      <c r="J26" s="17"/>
      <c r="K26" s="17"/>
      <c r="L26" s="17"/>
      <c r="M26" s="17"/>
      <c r="P26" s="17"/>
      <c r="Q26" s="17"/>
      <c r="R26" s="17"/>
      <c r="S26" s="17"/>
      <c r="T26" s="17"/>
      <c r="U26" s="17"/>
      <c r="V26" s="17"/>
      <c r="W26" s="17"/>
      <c r="X26" s="17"/>
      <c r="Y26" s="17"/>
      <c r="Z26" s="17"/>
      <c r="AA26" s="17"/>
    </row>
    <row r="27" spans="2:27" ht="20.100000000000001" customHeight="1">
      <c r="B27" s="17"/>
      <c r="C27" s="17"/>
      <c r="D27" s="17"/>
      <c r="E27" s="17"/>
      <c r="F27" s="17"/>
      <c r="G27" s="17"/>
      <c r="H27" s="17"/>
      <c r="I27" s="17"/>
      <c r="J27" s="17"/>
      <c r="K27" s="17"/>
      <c r="L27" s="17"/>
      <c r="M27" s="17"/>
      <c r="P27" s="17"/>
      <c r="Q27" s="17"/>
      <c r="R27" s="17"/>
      <c r="S27" s="17"/>
      <c r="T27" s="17"/>
      <c r="U27" s="17"/>
      <c r="V27" s="17"/>
      <c r="W27" s="17"/>
      <c r="X27" s="17"/>
      <c r="Y27" s="17"/>
      <c r="Z27" s="17"/>
      <c r="AA27" s="17"/>
    </row>
    <row r="28" spans="2:27" ht="20.100000000000001" customHeight="1">
      <c r="B28" s="17"/>
      <c r="C28" s="17"/>
      <c r="D28" s="17"/>
      <c r="E28" s="17"/>
      <c r="F28" s="17"/>
      <c r="G28" s="17"/>
      <c r="H28" s="17"/>
      <c r="I28" s="17"/>
      <c r="J28" s="17"/>
      <c r="K28" s="17"/>
      <c r="L28" s="17"/>
      <c r="M28" s="17"/>
      <c r="P28" s="17"/>
      <c r="Q28" s="17"/>
      <c r="R28" s="17"/>
      <c r="S28" s="17"/>
      <c r="T28" s="17"/>
      <c r="U28" s="17"/>
      <c r="V28" s="17"/>
      <c r="W28" s="17"/>
      <c r="X28" s="17"/>
      <c r="Y28" s="17"/>
      <c r="Z28" s="17"/>
      <c r="AA28" s="17"/>
    </row>
    <row r="29" spans="2:27" ht="20.100000000000001" customHeight="1">
      <c r="B29" s="17"/>
      <c r="C29" s="17"/>
      <c r="D29" s="17"/>
      <c r="E29" s="17"/>
      <c r="F29" s="17"/>
      <c r="G29" s="17"/>
      <c r="H29" s="17"/>
      <c r="I29" s="17"/>
      <c r="J29" s="17"/>
      <c r="K29" s="17"/>
      <c r="L29" s="17"/>
      <c r="M29" s="17"/>
      <c r="P29" s="17"/>
      <c r="Q29" s="17"/>
      <c r="R29" s="17"/>
      <c r="S29" s="17"/>
      <c r="T29" s="17"/>
      <c r="U29" s="17"/>
      <c r="V29" s="17"/>
      <c r="W29" s="17"/>
      <c r="X29" s="17"/>
      <c r="Y29" s="17"/>
      <c r="Z29" s="17"/>
      <c r="AA29" s="17"/>
    </row>
    <row r="30" spans="2:27" ht="15.95" customHeight="1"/>
    <row r="31" spans="2:27" ht="15.95" customHeight="1">
      <c r="B31" s="18" t="s">
        <v>4</v>
      </c>
      <c r="C31" s="19"/>
      <c r="D31" s="19"/>
      <c r="E31" s="19"/>
      <c r="F31" s="19"/>
      <c r="I31" s="18" t="s">
        <v>5</v>
      </c>
      <c r="J31" s="19"/>
      <c r="K31" s="19"/>
      <c r="L31" s="19"/>
      <c r="M31" s="19"/>
      <c r="N31" s="17"/>
    </row>
    <row r="32" spans="2:27" ht="15.95" customHeight="1">
      <c r="B32" s="20" t="s">
        <v>6</v>
      </c>
      <c r="C32" s="21"/>
      <c r="D32" s="22" t="s">
        <v>7</v>
      </c>
      <c r="E32" s="22" t="s">
        <v>8</v>
      </c>
      <c r="F32" s="21" t="s">
        <v>9</v>
      </c>
      <c r="G32" s="23"/>
      <c r="I32" s="24" t="s">
        <v>10</v>
      </c>
      <c r="J32" s="25"/>
      <c r="K32" s="26" t="s">
        <v>11</v>
      </c>
      <c r="L32" s="26" t="s">
        <v>12</v>
      </c>
      <c r="M32" s="26" t="s">
        <v>13</v>
      </c>
      <c r="N32" s="27" t="s">
        <v>14</v>
      </c>
    </row>
    <row r="33" spans="2:27" ht="15.95" customHeight="1">
      <c r="B33" s="28" t="s">
        <v>23</v>
      </c>
      <c r="C33" s="29"/>
      <c r="D33" s="30">
        <v>35.69</v>
      </c>
      <c r="E33" s="30">
        <v>139.76</v>
      </c>
      <c r="F33" s="31">
        <v>135</v>
      </c>
      <c r="G33" s="32"/>
      <c r="I33" s="33" t="s">
        <v>15</v>
      </c>
      <c r="J33" s="34"/>
      <c r="K33" s="35">
        <v>175</v>
      </c>
      <c r="L33" s="35">
        <v>-95</v>
      </c>
      <c r="M33" s="35">
        <v>-5</v>
      </c>
      <c r="N33" s="36">
        <v>85</v>
      </c>
    </row>
    <row r="34" spans="2:27" ht="15.95" customHeight="1" thickBot="1"/>
    <row r="35" spans="2:27" ht="15.95" customHeight="1">
      <c r="B35" s="15" t="s">
        <v>16</v>
      </c>
      <c r="L35" s="37" t="s">
        <v>17</v>
      </c>
      <c r="M35" s="38" t="s">
        <v>18</v>
      </c>
      <c r="P35" s="15" t="s">
        <v>16</v>
      </c>
      <c r="AA35" s="39" t="s">
        <v>19</v>
      </c>
    </row>
    <row r="36" spans="2:27" ht="15.95" customHeight="1">
      <c r="B36" s="40"/>
      <c r="C36" s="41"/>
      <c r="D36" s="42">
        <v>9</v>
      </c>
      <c r="E36" s="42">
        <v>10</v>
      </c>
      <c r="F36" s="42">
        <v>11</v>
      </c>
      <c r="G36" s="42">
        <v>12</v>
      </c>
      <c r="H36" s="42">
        <v>13</v>
      </c>
      <c r="I36" s="42">
        <v>14</v>
      </c>
      <c r="J36" s="42">
        <v>15</v>
      </c>
      <c r="K36" s="42">
        <v>16</v>
      </c>
      <c r="L36" s="42">
        <v>17</v>
      </c>
      <c r="M36" s="43">
        <v>18</v>
      </c>
      <c r="P36" s="40"/>
      <c r="Q36" s="41"/>
      <c r="R36" s="42">
        <v>9</v>
      </c>
      <c r="S36" s="42">
        <v>10</v>
      </c>
      <c r="T36" s="42">
        <v>11</v>
      </c>
      <c r="U36" s="42">
        <v>12</v>
      </c>
      <c r="V36" s="42">
        <v>13</v>
      </c>
      <c r="W36" s="42">
        <v>14</v>
      </c>
      <c r="X36" s="42">
        <v>15</v>
      </c>
      <c r="Y36" s="42">
        <v>16</v>
      </c>
      <c r="Z36" s="42">
        <v>17</v>
      </c>
      <c r="AA36" s="43">
        <v>18</v>
      </c>
    </row>
    <row r="37" spans="2:27" ht="15.95" customHeight="1">
      <c r="B37" s="44" t="s">
        <v>20</v>
      </c>
      <c r="C37" s="45"/>
      <c r="D37" s="46">
        <v>49.2</v>
      </c>
      <c r="E37" s="46">
        <v>60.5</v>
      </c>
      <c r="F37" s="46">
        <v>69.599999999999994</v>
      </c>
      <c r="G37" s="46">
        <v>72.2</v>
      </c>
      <c r="H37" s="46">
        <v>66.2</v>
      </c>
      <c r="I37" s="46">
        <v>55.8</v>
      </c>
      <c r="J37" s="46">
        <v>44.1</v>
      </c>
      <c r="K37" s="46">
        <v>32</v>
      </c>
      <c r="L37" s="46">
        <v>19.8</v>
      </c>
      <c r="M37" s="47">
        <v>8</v>
      </c>
      <c r="P37" s="44" t="s">
        <v>20</v>
      </c>
      <c r="Q37" s="45"/>
      <c r="R37" s="46">
        <v>41.5</v>
      </c>
      <c r="S37" s="46">
        <v>50.7</v>
      </c>
      <c r="T37" s="46">
        <v>56.5</v>
      </c>
      <c r="U37" s="46">
        <v>57.1</v>
      </c>
      <c r="V37" s="46">
        <v>52.3</v>
      </c>
      <c r="W37" s="46">
        <v>43.7</v>
      </c>
      <c r="X37" s="46">
        <v>33</v>
      </c>
      <c r="Y37" s="46">
        <v>21.4</v>
      </c>
      <c r="Z37" s="46">
        <v>9.3000000000000007</v>
      </c>
      <c r="AA37" s="47">
        <v>0</v>
      </c>
    </row>
    <row r="38" spans="2:27" ht="15.95" customHeight="1">
      <c r="B38" s="44" t="s">
        <v>21</v>
      </c>
      <c r="C38" s="45"/>
      <c r="D38" s="48">
        <v>-75.8</v>
      </c>
      <c r="E38" s="48">
        <v>-60.5</v>
      </c>
      <c r="F38" s="48">
        <v>-33.799999999999997</v>
      </c>
      <c r="G38" s="48">
        <v>10.1</v>
      </c>
      <c r="H38" s="48">
        <v>47.4</v>
      </c>
      <c r="I38" s="48">
        <v>68</v>
      </c>
      <c r="J38" s="48">
        <v>80.7</v>
      </c>
      <c r="K38" s="48">
        <v>90.2</v>
      </c>
      <c r="L38" s="48">
        <v>98.5</v>
      </c>
      <c r="M38" s="49">
        <v>106.7</v>
      </c>
      <c r="P38" s="44" t="s">
        <v>22</v>
      </c>
      <c r="Q38" s="45"/>
      <c r="R38" s="48">
        <v>-57.2</v>
      </c>
      <c r="S38" s="48">
        <v>-40.1</v>
      </c>
      <c r="T38" s="48">
        <v>-16.7</v>
      </c>
      <c r="U38" s="48">
        <v>10.9</v>
      </c>
      <c r="V38" s="48">
        <v>35.5</v>
      </c>
      <c r="W38" s="48">
        <v>54</v>
      </c>
      <c r="X38" s="48">
        <v>67.5</v>
      </c>
      <c r="Y38" s="48">
        <v>78.099999999999994</v>
      </c>
      <c r="Z38" s="48">
        <v>87.3</v>
      </c>
      <c r="AA38" s="49">
        <v>0</v>
      </c>
    </row>
    <row r="39" spans="2:27" ht="20.100000000000001" customHeight="1">
      <c r="B39" s="15" t="s">
        <v>24</v>
      </c>
      <c r="P39" s="15" t="s">
        <v>25</v>
      </c>
    </row>
  </sheetData>
  <mergeCells count="12">
    <mergeCell ref="B36:C36"/>
    <mergeCell ref="P36:Q36"/>
    <mergeCell ref="B37:C37"/>
    <mergeCell ref="P37:Q37"/>
    <mergeCell ref="B38:C38"/>
    <mergeCell ref="P38:Q38"/>
    <mergeCell ref="B32:C32"/>
    <mergeCell ref="F32:G32"/>
    <mergeCell ref="I32:J32"/>
    <mergeCell ref="B33:C33"/>
    <mergeCell ref="F33:G33"/>
    <mergeCell ref="I33:J33"/>
  </mergeCells>
  <phoneticPr fontId="3"/>
  <pageMargins left="0.65" right="0.51" top="0.78740157480314965" bottom="0.47244094488188981" header="0.51181102362204722" footer="0.31496062992125984"/>
  <pageSetup paperSize="9" scale="59" orientation="landscape" horizontalDpi="400" verticalDpi="400" r:id="rId1"/>
  <headerFooter scaleWithDoc="0">
    <oddFooter>&amp;C&amp;"ＭＳ Ｐゴシック,標準"&amp;9( &amp;P / &amp;N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54"/>
  <sheetViews>
    <sheetView showGridLines="0" zoomScale="80" zoomScaleNormal="80" workbookViewId="0">
      <selection sqref="A1:E1"/>
    </sheetView>
  </sheetViews>
  <sheetFormatPr defaultColWidth="7.5703125" defaultRowHeight="15.95" customHeight="1"/>
  <cols>
    <col min="1" max="1" width="17.28515625" style="108" customWidth="1"/>
    <col min="2" max="6" width="7.7109375" style="54" customWidth="1"/>
    <col min="7" max="7" width="7.7109375" style="72" customWidth="1"/>
    <col min="8" max="12" width="7.7109375" style="54" customWidth="1"/>
    <col min="13" max="13" width="7.7109375" style="72" customWidth="1"/>
    <col min="14" max="18" width="7.7109375" style="54" customWidth="1"/>
    <col min="19" max="19" width="7.7109375" style="72" customWidth="1"/>
    <col min="20" max="23" width="7.7109375" style="54" customWidth="1"/>
    <col min="24" max="24" width="7.7109375" style="72" customWidth="1"/>
    <col min="25" max="25" width="7.7109375" style="54" customWidth="1"/>
    <col min="26" max="16384" width="7.5703125" style="54"/>
  </cols>
  <sheetData>
    <row r="1" spans="1:25" s="53" customFormat="1" ht="27.95" customHeight="1">
      <c r="A1" s="10" t="s">
        <v>27</v>
      </c>
      <c r="B1" s="50"/>
      <c r="C1" s="50"/>
      <c r="D1" s="50"/>
      <c r="E1" s="50"/>
      <c r="F1" s="50"/>
      <c r="G1" s="51"/>
      <c r="H1" s="50"/>
      <c r="I1" s="50"/>
      <c r="J1" s="50"/>
      <c r="K1" s="50"/>
      <c r="L1" s="50"/>
      <c r="M1" s="51"/>
      <c r="N1" s="50"/>
      <c r="O1" s="50"/>
      <c r="P1" s="50"/>
      <c r="Q1" s="50"/>
      <c r="R1" s="50"/>
      <c r="S1" s="51"/>
      <c r="T1" s="50"/>
      <c r="U1" s="50"/>
      <c r="V1" s="50"/>
      <c r="W1" s="50"/>
      <c r="X1" s="51"/>
      <c r="Y1" s="52"/>
    </row>
    <row r="2" spans="1:25" ht="8.1" customHeight="1">
      <c r="A2" s="54"/>
      <c r="G2" s="54"/>
      <c r="M2" s="54"/>
      <c r="S2" s="54"/>
      <c r="X2" s="54"/>
    </row>
    <row r="3" spans="1:25" ht="15.95" customHeight="1">
      <c r="A3" s="55" t="s">
        <v>28</v>
      </c>
      <c r="B3" s="55" t="s">
        <v>66</v>
      </c>
      <c r="C3" s="55"/>
      <c r="D3" s="56"/>
      <c r="E3" s="56"/>
      <c r="F3" s="56"/>
      <c r="G3" s="56"/>
      <c r="H3" s="56"/>
      <c r="I3" s="56"/>
      <c r="J3" s="56"/>
      <c r="K3" s="56"/>
      <c r="L3" s="56"/>
      <c r="M3" s="56"/>
      <c r="N3" s="56"/>
      <c r="O3" s="56"/>
      <c r="P3" s="56"/>
      <c r="Q3" s="56"/>
      <c r="R3" s="56"/>
      <c r="S3" s="56"/>
      <c r="T3" s="56"/>
      <c r="U3" s="56"/>
      <c r="V3" s="56"/>
      <c r="W3" s="56"/>
      <c r="X3" s="57"/>
      <c r="Y3" s="57"/>
    </row>
    <row r="4" spans="1:25" ht="15.95" customHeight="1" thickBot="1">
      <c r="A4" s="54"/>
      <c r="G4" s="54"/>
      <c r="M4" s="54"/>
      <c r="S4" s="54"/>
      <c r="X4" s="54"/>
    </row>
    <row r="5" spans="1:25" ht="15.95" customHeight="1">
      <c r="A5" s="58" t="s">
        <v>29</v>
      </c>
      <c r="B5" s="59"/>
      <c r="C5" s="60"/>
      <c r="G5" s="54"/>
      <c r="M5" s="54"/>
      <c r="S5" s="54"/>
      <c r="X5" s="54"/>
    </row>
    <row r="6" spans="1:25" ht="15.95" customHeight="1" thickBot="1">
      <c r="A6" s="54"/>
      <c r="G6" s="54"/>
      <c r="M6" s="54"/>
      <c r="S6" s="54"/>
      <c r="X6" s="54"/>
    </row>
    <row r="7" spans="1:25" ht="15.95" customHeight="1">
      <c r="A7" s="37" t="s">
        <v>30</v>
      </c>
      <c r="B7" s="61"/>
      <c r="C7" s="61"/>
      <c r="D7" s="61"/>
      <c r="E7" s="62"/>
      <c r="F7" s="61"/>
      <c r="G7" s="61"/>
      <c r="H7" s="61"/>
      <c r="I7" s="61"/>
      <c r="J7" s="61"/>
      <c r="K7" s="62"/>
      <c r="L7" s="61"/>
      <c r="M7" s="61"/>
      <c r="N7" s="61"/>
      <c r="O7" s="61"/>
      <c r="P7" s="61"/>
      <c r="Q7" s="62"/>
      <c r="R7" s="61"/>
      <c r="S7" s="61"/>
      <c r="T7" s="61"/>
      <c r="U7" s="61"/>
      <c r="V7" s="62"/>
      <c r="X7" s="54"/>
      <c r="Y7" s="63" t="s">
        <v>31</v>
      </c>
    </row>
    <row r="8" spans="1:25" ht="15.95" customHeight="1">
      <c r="A8" s="64"/>
      <c r="B8" s="65">
        <v>1</v>
      </c>
      <c r="C8" s="66">
        <v>2</v>
      </c>
      <c r="D8" s="66">
        <v>3</v>
      </c>
      <c r="E8" s="66">
        <v>4</v>
      </c>
      <c r="F8" s="66">
        <v>5</v>
      </c>
      <c r="G8" s="66">
        <v>6</v>
      </c>
      <c r="H8" s="66">
        <v>7</v>
      </c>
      <c r="I8" s="66">
        <v>8</v>
      </c>
      <c r="J8" s="66">
        <v>9</v>
      </c>
      <c r="K8" s="66">
        <v>10</v>
      </c>
      <c r="L8" s="66">
        <v>11</v>
      </c>
      <c r="M8" s="66">
        <v>12</v>
      </c>
      <c r="N8" s="66">
        <v>13</v>
      </c>
      <c r="O8" s="66">
        <v>14</v>
      </c>
      <c r="P8" s="66">
        <v>15</v>
      </c>
      <c r="Q8" s="66">
        <v>16</v>
      </c>
      <c r="R8" s="66">
        <v>17</v>
      </c>
      <c r="S8" s="66">
        <v>18</v>
      </c>
      <c r="T8" s="66">
        <v>19</v>
      </c>
      <c r="U8" s="66">
        <v>20</v>
      </c>
      <c r="V8" s="66">
        <v>21</v>
      </c>
      <c r="W8" s="66">
        <v>22</v>
      </c>
      <c r="X8" s="66">
        <v>23</v>
      </c>
      <c r="Y8" s="67">
        <v>24</v>
      </c>
    </row>
    <row r="9" spans="1:25" ht="15.95" customHeight="1">
      <c r="A9" s="68" t="s">
        <v>32</v>
      </c>
      <c r="B9" s="69">
        <v>28.5</v>
      </c>
      <c r="C9" s="70">
        <v>28.1</v>
      </c>
      <c r="D9" s="70">
        <v>27.9</v>
      </c>
      <c r="E9" s="70">
        <v>27.7</v>
      </c>
      <c r="F9" s="70">
        <v>27.6</v>
      </c>
      <c r="G9" s="70">
        <v>27.9</v>
      </c>
      <c r="H9" s="70">
        <v>28.9</v>
      </c>
      <c r="I9" s="70">
        <v>30</v>
      </c>
      <c r="J9" s="70">
        <v>31.3</v>
      </c>
      <c r="K9" s="70">
        <v>32.5</v>
      </c>
      <c r="L9" s="70">
        <v>33.200000000000003</v>
      </c>
      <c r="M9" s="138">
        <v>33.700000000000003</v>
      </c>
      <c r="N9" s="70">
        <v>33.9</v>
      </c>
      <c r="O9" s="70">
        <v>33.9</v>
      </c>
      <c r="P9" s="70">
        <v>33.4</v>
      </c>
      <c r="Q9" s="70">
        <v>32.9</v>
      </c>
      <c r="R9" s="70">
        <v>32</v>
      </c>
      <c r="S9" s="70">
        <v>31.3</v>
      </c>
      <c r="T9" s="70">
        <v>30.4</v>
      </c>
      <c r="U9" s="70">
        <v>29.8</v>
      </c>
      <c r="V9" s="70">
        <v>29.5</v>
      </c>
      <c r="W9" s="70">
        <v>29.2</v>
      </c>
      <c r="X9" s="70">
        <v>28.9</v>
      </c>
      <c r="Y9" s="71">
        <v>28.8</v>
      </c>
    </row>
    <row r="10" spans="1:25" ht="15.95" customHeight="1">
      <c r="A10" s="68" t="s">
        <v>33</v>
      </c>
      <c r="B10" s="69">
        <v>19.100000000000001</v>
      </c>
      <c r="C10" s="70">
        <v>19.100000000000001</v>
      </c>
      <c r="D10" s="70">
        <v>19.100000000000001</v>
      </c>
      <c r="E10" s="70">
        <v>19</v>
      </c>
      <c r="F10" s="70">
        <v>18.899999999999999</v>
      </c>
      <c r="G10" s="70">
        <v>19</v>
      </c>
      <c r="H10" s="70">
        <v>18.899999999999999</v>
      </c>
      <c r="I10" s="70">
        <v>18.8</v>
      </c>
      <c r="J10" s="70">
        <v>18.600000000000001</v>
      </c>
      <c r="K10" s="70">
        <v>18.5</v>
      </c>
      <c r="L10" s="70">
        <v>18.3</v>
      </c>
      <c r="M10" s="138">
        <v>18.600000000000001</v>
      </c>
      <c r="N10" s="70">
        <v>18.399999999999999</v>
      </c>
      <c r="O10" s="70">
        <v>18.100000000000001</v>
      </c>
      <c r="P10" s="70">
        <v>18.3</v>
      </c>
      <c r="Q10" s="70">
        <v>18.399999999999999</v>
      </c>
      <c r="R10" s="70">
        <v>18.5</v>
      </c>
      <c r="S10" s="70">
        <v>18.5</v>
      </c>
      <c r="T10" s="70">
        <v>18.5</v>
      </c>
      <c r="U10" s="70">
        <v>18.600000000000001</v>
      </c>
      <c r="V10" s="70">
        <v>18.8</v>
      </c>
      <c r="W10" s="70">
        <v>18.899999999999999</v>
      </c>
      <c r="X10" s="70">
        <v>19</v>
      </c>
      <c r="Y10" s="71">
        <v>19.100000000000001</v>
      </c>
    </row>
    <row r="11" spans="1:25" ht="15.95" customHeight="1">
      <c r="A11" s="68" t="s">
        <v>34</v>
      </c>
      <c r="B11" s="69">
        <v>77.400000000000006</v>
      </c>
      <c r="C11" s="70">
        <v>77</v>
      </c>
      <c r="D11" s="70">
        <v>76.8</v>
      </c>
      <c r="E11" s="70">
        <v>76.3</v>
      </c>
      <c r="F11" s="70">
        <v>76</v>
      </c>
      <c r="G11" s="70">
        <v>76.5</v>
      </c>
      <c r="H11" s="70">
        <v>77.3</v>
      </c>
      <c r="I11" s="70">
        <v>78.2</v>
      </c>
      <c r="J11" s="70">
        <v>79.099999999999994</v>
      </c>
      <c r="K11" s="70">
        <v>80</v>
      </c>
      <c r="L11" s="70">
        <v>80.3</v>
      </c>
      <c r="M11" s="138">
        <v>81.599999999999994</v>
      </c>
      <c r="N11" s="70">
        <v>81.2</v>
      </c>
      <c r="O11" s="70">
        <v>80.5</v>
      </c>
      <c r="P11" s="70">
        <v>80.5</v>
      </c>
      <c r="Q11" s="70">
        <v>80.2</v>
      </c>
      <c r="R11" s="70">
        <v>79.5</v>
      </c>
      <c r="S11" s="70">
        <v>78.8</v>
      </c>
      <c r="T11" s="70">
        <v>77.900000000000006</v>
      </c>
      <c r="U11" s="70">
        <v>77.5</v>
      </c>
      <c r="V11" s="70">
        <v>77.7</v>
      </c>
      <c r="W11" s="70">
        <v>77.599999999999994</v>
      </c>
      <c r="X11" s="70">
        <v>77.599999999999994</v>
      </c>
      <c r="Y11" s="71">
        <v>77.7</v>
      </c>
    </row>
    <row r="12" spans="1:25" ht="15.95" customHeight="1" thickBot="1">
      <c r="A12" s="54"/>
    </row>
    <row r="13" spans="1:25" ht="15.95" customHeight="1">
      <c r="A13" s="38" t="s">
        <v>35</v>
      </c>
      <c r="B13" s="61"/>
      <c r="C13" s="61"/>
      <c r="D13" s="61"/>
      <c r="E13" s="62"/>
      <c r="F13" s="61"/>
      <c r="G13" s="61"/>
      <c r="H13" s="61"/>
      <c r="I13" s="61"/>
      <c r="J13" s="61"/>
      <c r="K13" s="62"/>
      <c r="L13" s="61"/>
      <c r="M13" s="61"/>
      <c r="N13" s="61"/>
      <c r="O13" s="61"/>
      <c r="P13" s="61"/>
      <c r="Q13" s="62"/>
      <c r="R13" s="61"/>
      <c r="S13" s="61"/>
      <c r="T13" s="61"/>
      <c r="U13" s="61"/>
      <c r="V13" s="62"/>
      <c r="X13" s="54"/>
      <c r="Y13" s="63" t="s">
        <v>31</v>
      </c>
    </row>
    <row r="14" spans="1:25" ht="15.95" customHeight="1">
      <c r="A14" s="64"/>
      <c r="B14" s="65">
        <v>1</v>
      </c>
      <c r="C14" s="66">
        <v>2</v>
      </c>
      <c r="D14" s="66">
        <v>3</v>
      </c>
      <c r="E14" s="66">
        <v>4</v>
      </c>
      <c r="F14" s="66">
        <v>5</v>
      </c>
      <c r="G14" s="66">
        <v>6</v>
      </c>
      <c r="H14" s="66">
        <v>7</v>
      </c>
      <c r="I14" s="66">
        <v>8</v>
      </c>
      <c r="J14" s="66">
        <v>9</v>
      </c>
      <c r="K14" s="66">
        <v>10</v>
      </c>
      <c r="L14" s="66">
        <v>11</v>
      </c>
      <c r="M14" s="66">
        <v>12</v>
      </c>
      <c r="N14" s="66">
        <v>13</v>
      </c>
      <c r="O14" s="66">
        <v>14</v>
      </c>
      <c r="P14" s="66">
        <v>15</v>
      </c>
      <c r="Q14" s="66">
        <v>16</v>
      </c>
      <c r="R14" s="66">
        <v>17</v>
      </c>
      <c r="S14" s="66">
        <v>18</v>
      </c>
      <c r="T14" s="66">
        <v>19</v>
      </c>
      <c r="U14" s="66">
        <v>20</v>
      </c>
      <c r="V14" s="66">
        <v>21</v>
      </c>
      <c r="W14" s="66">
        <v>22</v>
      </c>
      <c r="X14" s="66">
        <v>23</v>
      </c>
      <c r="Y14" s="67">
        <v>24</v>
      </c>
    </row>
    <row r="15" spans="1:25" ht="15.95" customHeight="1">
      <c r="A15" s="68" t="s">
        <v>32</v>
      </c>
      <c r="B15" s="69">
        <v>27.8</v>
      </c>
      <c r="C15" s="70">
        <v>27.5</v>
      </c>
      <c r="D15" s="70">
        <v>27.3</v>
      </c>
      <c r="E15" s="70">
        <v>27.1</v>
      </c>
      <c r="F15" s="70">
        <v>27</v>
      </c>
      <c r="G15" s="70">
        <v>27.3</v>
      </c>
      <c r="H15" s="70">
        <v>28.4</v>
      </c>
      <c r="I15" s="70">
        <v>29.8</v>
      </c>
      <c r="J15" s="70">
        <v>31.1</v>
      </c>
      <c r="K15" s="70">
        <v>32.1</v>
      </c>
      <c r="L15" s="70">
        <v>33</v>
      </c>
      <c r="M15" s="70">
        <v>33.4</v>
      </c>
      <c r="N15" s="138">
        <v>33.6</v>
      </c>
      <c r="O15" s="70">
        <v>33.4</v>
      </c>
      <c r="P15" s="70">
        <v>32.9</v>
      </c>
      <c r="Q15" s="70">
        <v>32.5</v>
      </c>
      <c r="R15" s="70">
        <v>32</v>
      </c>
      <c r="S15" s="70">
        <v>31.1</v>
      </c>
      <c r="T15" s="70">
        <v>29.9</v>
      </c>
      <c r="U15" s="70">
        <v>29.1</v>
      </c>
      <c r="V15" s="70">
        <v>28.7</v>
      </c>
      <c r="W15" s="70">
        <v>28.4</v>
      </c>
      <c r="X15" s="70">
        <v>28.3</v>
      </c>
      <c r="Y15" s="71">
        <v>28</v>
      </c>
    </row>
    <row r="16" spans="1:25" ht="15.95" customHeight="1">
      <c r="A16" s="68" t="s">
        <v>33</v>
      </c>
      <c r="B16" s="69">
        <v>17.3</v>
      </c>
      <c r="C16" s="70">
        <v>17.399999999999999</v>
      </c>
      <c r="D16" s="70">
        <v>17.399999999999999</v>
      </c>
      <c r="E16" s="70">
        <v>17.399999999999999</v>
      </c>
      <c r="F16" s="70">
        <v>17.3</v>
      </c>
      <c r="G16" s="70">
        <v>17.3</v>
      </c>
      <c r="H16" s="70">
        <v>17.100000000000001</v>
      </c>
      <c r="I16" s="70">
        <v>16.899999999999999</v>
      </c>
      <c r="J16" s="70">
        <v>16.7</v>
      </c>
      <c r="K16" s="70">
        <v>16.600000000000001</v>
      </c>
      <c r="L16" s="70">
        <v>16.600000000000001</v>
      </c>
      <c r="M16" s="70">
        <v>16.7</v>
      </c>
      <c r="N16" s="138">
        <v>16.8</v>
      </c>
      <c r="O16" s="70">
        <v>16.600000000000001</v>
      </c>
      <c r="P16" s="70">
        <v>16.7</v>
      </c>
      <c r="Q16" s="70">
        <v>16.8</v>
      </c>
      <c r="R16" s="70">
        <v>17</v>
      </c>
      <c r="S16" s="70">
        <v>17.100000000000001</v>
      </c>
      <c r="T16" s="70">
        <v>17.2</v>
      </c>
      <c r="U16" s="70">
        <v>17.2</v>
      </c>
      <c r="V16" s="70">
        <v>17.2</v>
      </c>
      <c r="W16" s="70">
        <v>17.2</v>
      </c>
      <c r="X16" s="70">
        <v>17.3</v>
      </c>
      <c r="Y16" s="71">
        <v>17.399999999999999</v>
      </c>
    </row>
    <row r="17" spans="1:25" ht="15.95" customHeight="1">
      <c r="A17" s="68" t="s">
        <v>34</v>
      </c>
      <c r="B17" s="69">
        <v>72.099999999999994</v>
      </c>
      <c r="C17" s="70">
        <v>72</v>
      </c>
      <c r="D17" s="70">
        <v>71.8</v>
      </c>
      <c r="E17" s="70">
        <v>71.599999999999994</v>
      </c>
      <c r="F17" s="70">
        <v>71.3</v>
      </c>
      <c r="G17" s="70">
        <v>71.599999999999994</v>
      </c>
      <c r="H17" s="70">
        <v>72.2</v>
      </c>
      <c r="I17" s="70">
        <v>73.2</v>
      </c>
      <c r="J17" s="70">
        <v>74</v>
      </c>
      <c r="K17" s="70">
        <v>74.8</v>
      </c>
      <c r="L17" s="70">
        <v>75.7</v>
      </c>
      <c r="M17" s="70">
        <v>76.400000000000006</v>
      </c>
      <c r="N17" s="138">
        <v>76.8</v>
      </c>
      <c r="O17" s="70">
        <v>76.099999999999994</v>
      </c>
      <c r="P17" s="70">
        <v>75.900000000000006</v>
      </c>
      <c r="Q17" s="70">
        <v>75.7</v>
      </c>
      <c r="R17" s="70">
        <v>75.7</v>
      </c>
      <c r="S17" s="70">
        <v>75</v>
      </c>
      <c r="T17" s="70">
        <v>74</v>
      </c>
      <c r="U17" s="70">
        <v>73.2</v>
      </c>
      <c r="V17" s="70">
        <v>72.8</v>
      </c>
      <c r="W17" s="70">
        <v>72.5</v>
      </c>
      <c r="X17" s="70">
        <v>72.599999999999994</v>
      </c>
      <c r="Y17" s="71">
        <v>72.599999999999994</v>
      </c>
    </row>
    <row r="18" spans="1:25" ht="15.95" customHeight="1" thickBot="1">
      <c r="A18" s="54"/>
    </row>
    <row r="19" spans="1:25" ht="15.95" customHeight="1">
      <c r="A19" s="39" t="s">
        <v>36</v>
      </c>
      <c r="B19" s="61"/>
      <c r="C19" s="61"/>
      <c r="D19" s="61"/>
      <c r="E19" s="62"/>
      <c r="F19" s="61"/>
      <c r="G19" s="61"/>
      <c r="H19" s="61"/>
      <c r="I19" s="61"/>
      <c r="J19" s="61"/>
      <c r="K19" s="62"/>
      <c r="L19" s="61"/>
      <c r="M19" s="61"/>
      <c r="N19" s="61"/>
      <c r="O19" s="61"/>
      <c r="P19" s="61"/>
      <c r="Q19" s="62"/>
      <c r="R19" s="61"/>
      <c r="S19" s="61"/>
      <c r="T19" s="61"/>
      <c r="U19" s="61"/>
      <c r="V19" s="62"/>
      <c r="X19" s="54"/>
      <c r="Y19" s="63" t="s">
        <v>31</v>
      </c>
    </row>
    <row r="20" spans="1:25" ht="15.95" customHeight="1">
      <c r="A20" s="64"/>
      <c r="B20" s="65">
        <v>1</v>
      </c>
      <c r="C20" s="66">
        <v>2</v>
      </c>
      <c r="D20" s="66">
        <v>3</v>
      </c>
      <c r="E20" s="66">
        <v>4</v>
      </c>
      <c r="F20" s="66">
        <v>5</v>
      </c>
      <c r="G20" s="66">
        <v>6</v>
      </c>
      <c r="H20" s="66">
        <v>7</v>
      </c>
      <c r="I20" s="66">
        <v>8</v>
      </c>
      <c r="J20" s="66">
        <v>9</v>
      </c>
      <c r="K20" s="66">
        <v>10</v>
      </c>
      <c r="L20" s="66">
        <v>11</v>
      </c>
      <c r="M20" s="66">
        <v>12</v>
      </c>
      <c r="N20" s="66">
        <v>13</v>
      </c>
      <c r="O20" s="66">
        <v>14</v>
      </c>
      <c r="P20" s="66">
        <v>15</v>
      </c>
      <c r="Q20" s="66">
        <v>16</v>
      </c>
      <c r="R20" s="66">
        <v>17</v>
      </c>
      <c r="S20" s="66">
        <v>18</v>
      </c>
      <c r="T20" s="66">
        <v>19</v>
      </c>
      <c r="U20" s="66">
        <v>20</v>
      </c>
      <c r="V20" s="66">
        <v>21</v>
      </c>
      <c r="W20" s="66">
        <v>22</v>
      </c>
      <c r="X20" s="66">
        <v>23</v>
      </c>
      <c r="Y20" s="67">
        <v>24</v>
      </c>
    </row>
    <row r="21" spans="1:25" ht="15.95" customHeight="1">
      <c r="A21" s="68" t="s">
        <v>32</v>
      </c>
      <c r="B21" s="69">
        <v>25.8</v>
      </c>
      <c r="C21" s="70">
        <v>25.5</v>
      </c>
      <c r="D21" s="70">
        <v>25.3</v>
      </c>
      <c r="E21" s="70">
        <v>25.1</v>
      </c>
      <c r="F21" s="70">
        <v>24.9</v>
      </c>
      <c r="G21" s="70">
        <v>25.1</v>
      </c>
      <c r="H21" s="70">
        <v>26</v>
      </c>
      <c r="I21" s="70">
        <v>27.5</v>
      </c>
      <c r="J21" s="70">
        <v>28.8</v>
      </c>
      <c r="K21" s="70">
        <v>30.1</v>
      </c>
      <c r="L21" s="70">
        <v>30.9</v>
      </c>
      <c r="M21" s="137">
        <v>31.6</v>
      </c>
      <c r="N21" s="70">
        <v>31.8</v>
      </c>
      <c r="O21" s="70">
        <v>31.5</v>
      </c>
      <c r="P21" s="70">
        <v>31.1</v>
      </c>
      <c r="Q21" s="70">
        <v>30.7</v>
      </c>
      <c r="R21" s="70">
        <v>29.7</v>
      </c>
      <c r="S21" s="70">
        <v>28.7</v>
      </c>
      <c r="T21" s="70">
        <v>27.9</v>
      </c>
      <c r="U21" s="70">
        <v>27.3</v>
      </c>
      <c r="V21" s="70">
        <v>27</v>
      </c>
      <c r="W21" s="139">
        <v>26.8</v>
      </c>
      <c r="X21" s="70">
        <v>26.6</v>
      </c>
      <c r="Y21" s="71">
        <v>26.2</v>
      </c>
    </row>
    <row r="22" spans="1:25" ht="15.95" customHeight="1">
      <c r="A22" s="68" t="s">
        <v>33</v>
      </c>
      <c r="B22" s="69">
        <v>16.100000000000001</v>
      </c>
      <c r="C22" s="70">
        <v>16</v>
      </c>
      <c r="D22" s="70">
        <v>15.9</v>
      </c>
      <c r="E22" s="70">
        <v>15.7</v>
      </c>
      <c r="F22" s="70">
        <v>15.4</v>
      </c>
      <c r="G22" s="70">
        <v>15.2</v>
      </c>
      <c r="H22" s="70">
        <v>15</v>
      </c>
      <c r="I22" s="70">
        <v>14.6</v>
      </c>
      <c r="J22" s="70">
        <v>14.2</v>
      </c>
      <c r="K22" s="70">
        <v>14.1</v>
      </c>
      <c r="L22" s="70">
        <v>13.8</v>
      </c>
      <c r="M22" s="137">
        <v>13.7</v>
      </c>
      <c r="N22" s="70">
        <v>13.5</v>
      </c>
      <c r="O22" s="70">
        <v>13.4</v>
      </c>
      <c r="P22" s="70">
        <v>13.5</v>
      </c>
      <c r="Q22" s="70">
        <v>13.7</v>
      </c>
      <c r="R22" s="70">
        <v>13.9</v>
      </c>
      <c r="S22" s="70">
        <v>14.5</v>
      </c>
      <c r="T22" s="70">
        <v>15.2</v>
      </c>
      <c r="U22" s="70">
        <v>16</v>
      </c>
      <c r="V22" s="70">
        <v>16.5</v>
      </c>
      <c r="W22" s="139">
        <v>16.600000000000001</v>
      </c>
      <c r="X22" s="70">
        <v>16.399999999999999</v>
      </c>
      <c r="Y22" s="71">
        <v>16.3</v>
      </c>
    </row>
    <row r="23" spans="1:25" ht="15.95" customHeight="1">
      <c r="A23" s="68" t="s">
        <v>34</v>
      </c>
      <c r="B23" s="69">
        <v>67</v>
      </c>
      <c r="C23" s="70">
        <v>66.400000000000006</v>
      </c>
      <c r="D23" s="70">
        <v>65.900000000000006</v>
      </c>
      <c r="E23" s="70">
        <v>65.2</v>
      </c>
      <c r="F23" s="70">
        <v>64.3</v>
      </c>
      <c r="G23" s="70">
        <v>64</v>
      </c>
      <c r="H23" s="70">
        <v>64.400000000000006</v>
      </c>
      <c r="I23" s="70">
        <v>64.900000000000006</v>
      </c>
      <c r="J23" s="70">
        <v>65.2</v>
      </c>
      <c r="K23" s="70">
        <v>66.3</v>
      </c>
      <c r="L23" s="70">
        <v>66.400000000000006</v>
      </c>
      <c r="M23" s="137">
        <v>66.8</v>
      </c>
      <c r="N23" s="70">
        <v>66.5</v>
      </c>
      <c r="O23" s="70">
        <v>66</v>
      </c>
      <c r="P23" s="70">
        <v>65.8</v>
      </c>
      <c r="Q23" s="70">
        <v>65.900000000000006</v>
      </c>
      <c r="R23" s="70">
        <v>65.400000000000006</v>
      </c>
      <c r="S23" s="70">
        <v>65.900000000000006</v>
      </c>
      <c r="T23" s="70">
        <v>66.8</v>
      </c>
      <c r="U23" s="70">
        <v>68.3</v>
      </c>
      <c r="V23" s="70">
        <v>69.2</v>
      </c>
      <c r="W23" s="139">
        <v>69.3</v>
      </c>
      <c r="X23" s="70">
        <v>68.599999999999994</v>
      </c>
      <c r="Y23" s="71">
        <v>67.900000000000006</v>
      </c>
    </row>
    <row r="24" spans="1:25" ht="15.95" customHeight="1" thickBot="1">
      <c r="A24" s="73"/>
    </row>
    <row r="25" spans="1:25" ht="15.95" customHeight="1">
      <c r="A25" s="58" t="s">
        <v>37</v>
      </c>
      <c r="B25" s="59"/>
      <c r="C25" s="60"/>
    </row>
    <row r="26" spans="1:25" ht="15.95" customHeight="1" thickBot="1">
      <c r="A26" s="54"/>
    </row>
    <row r="27" spans="1:25" ht="15.95" customHeight="1">
      <c r="A27" s="74" t="s">
        <v>39</v>
      </c>
      <c r="B27" s="61"/>
      <c r="C27" s="61"/>
      <c r="D27" s="61"/>
      <c r="E27" s="62"/>
      <c r="F27" s="61"/>
      <c r="G27" s="61"/>
      <c r="H27" s="61"/>
      <c r="I27" s="61"/>
      <c r="J27" s="61"/>
      <c r="K27" s="62"/>
      <c r="L27" s="61"/>
      <c r="M27" s="61"/>
      <c r="N27" s="61"/>
      <c r="O27" s="61"/>
      <c r="P27" s="61"/>
      <c r="Q27" s="62"/>
      <c r="R27" s="61"/>
      <c r="S27" s="61"/>
      <c r="T27" s="61"/>
      <c r="U27" s="61"/>
      <c r="V27" s="62"/>
      <c r="X27" s="54"/>
    </row>
    <row r="28" spans="1:25" ht="15.95" customHeight="1">
      <c r="A28" s="75"/>
      <c r="B28" s="76" t="s">
        <v>40</v>
      </c>
      <c r="C28" s="77"/>
      <c r="D28" s="77"/>
      <c r="E28" s="78"/>
      <c r="F28" s="76" t="s">
        <v>41</v>
      </c>
      <c r="G28" s="77"/>
      <c r="H28" s="77"/>
      <c r="I28" s="77"/>
      <c r="J28" s="77"/>
      <c r="K28" s="78"/>
      <c r="L28" s="76" t="s">
        <v>42</v>
      </c>
      <c r="M28" s="77"/>
      <c r="N28" s="77"/>
      <c r="O28" s="78"/>
      <c r="S28" s="54"/>
      <c r="X28" s="54"/>
    </row>
    <row r="29" spans="1:25" ht="15.95" customHeight="1">
      <c r="A29" s="79"/>
      <c r="B29" s="80" t="s">
        <v>43</v>
      </c>
      <c r="C29" s="81"/>
      <c r="D29" s="80" t="s">
        <v>44</v>
      </c>
      <c r="E29" s="81"/>
      <c r="F29" s="80" t="s">
        <v>45</v>
      </c>
      <c r="G29" s="82"/>
      <c r="H29" s="80" t="s">
        <v>46</v>
      </c>
      <c r="I29" s="81"/>
      <c r="J29" s="82" t="s">
        <v>47</v>
      </c>
      <c r="K29" s="81"/>
      <c r="L29" s="80" t="s">
        <v>43</v>
      </c>
      <c r="M29" s="81"/>
      <c r="N29" s="80" t="s">
        <v>44</v>
      </c>
      <c r="O29" s="81"/>
      <c r="Q29" s="83"/>
      <c r="S29" s="54"/>
      <c r="X29" s="54"/>
    </row>
    <row r="30" spans="1:25" ht="15.95" customHeight="1">
      <c r="A30" s="84"/>
      <c r="B30" s="85" t="s">
        <v>49</v>
      </c>
      <c r="C30" s="86" t="s">
        <v>50</v>
      </c>
      <c r="D30" s="87" t="s">
        <v>49</v>
      </c>
      <c r="E30" s="88" t="s">
        <v>50</v>
      </c>
      <c r="F30" s="88" t="s">
        <v>43</v>
      </c>
      <c r="G30" s="89" t="s">
        <v>44</v>
      </c>
      <c r="H30" s="90" t="s">
        <v>43</v>
      </c>
      <c r="I30" s="91" t="s">
        <v>44</v>
      </c>
      <c r="J30" s="92" t="s">
        <v>43</v>
      </c>
      <c r="K30" s="91" t="s">
        <v>44</v>
      </c>
      <c r="L30" s="93" t="s">
        <v>49</v>
      </c>
      <c r="M30" s="86" t="s">
        <v>50</v>
      </c>
      <c r="N30" s="87" t="s">
        <v>49</v>
      </c>
      <c r="O30" s="94" t="s">
        <v>50</v>
      </c>
      <c r="Q30" s="95"/>
      <c r="S30" s="54"/>
      <c r="X30" s="54"/>
    </row>
    <row r="31" spans="1:25" ht="15.95" customHeight="1">
      <c r="A31" s="68" t="s">
        <v>32</v>
      </c>
      <c r="B31" s="96">
        <v>9</v>
      </c>
      <c r="C31" s="97">
        <v>2</v>
      </c>
      <c r="D31" s="98">
        <v>5</v>
      </c>
      <c r="E31" s="97">
        <v>-0.3</v>
      </c>
      <c r="F31" s="99">
        <v>2</v>
      </c>
      <c r="G31" s="97">
        <v>-0.3</v>
      </c>
      <c r="H31" s="97">
        <v>2</v>
      </c>
      <c r="I31" s="97">
        <v>-0.3</v>
      </c>
      <c r="J31" s="97">
        <v>2</v>
      </c>
      <c r="K31" s="97">
        <v>-0.3</v>
      </c>
      <c r="L31" s="100">
        <v>9</v>
      </c>
      <c r="M31" s="97">
        <v>2</v>
      </c>
      <c r="N31" s="98">
        <v>5</v>
      </c>
      <c r="O31" s="101">
        <v>-0.3</v>
      </c>
      <c r="Q31" s="95"/>
      <c r="S31" s="54"/>
      <c r="X31" s="54"/>
    </row>
    <row r="32" spans="1:25" ht="15.95" customHeight="1">
      <c r="A32" s="68" t="s">
        <v>33</v>
      </c>
      <c r="B32" s="102"/>
      <c r="C32" s="103">
        <v>1.4</v>
      </c>
      <c r="D32" s="98"/>
      <c r="E32" s="103">
        <v>1.4</v>
      </c>
      <c r="F32" s="104"/>
      <c r="G32" s="104"/>
      <c r="H32" s="104"/>
      <c r="I32" s="104"/>
      <c r="J32" s="105"/>
      <c r="K32" s="104"/>
      <c r="L32" s="98"/>
      <c r="M32" s="103">
        <v>1.4</v>
      </c>
      <c r="N32" s="98"/>
      <c r="O32" s="101">
        <v>1.4</v>
      </c>
      <c r="S32" s="54"/>
      <c r="X32" s="54"/>
    </row>
    <row r="33" spans="1:28" ht="15.95" customHeight="1">
      <c r="A33" s="68" t="s">
        <v>51</v>
      </c>
      <c r="B33" s="106"/>
      <c r="C33" s="103">
        <v>5.5</v>
      </c>
      <c r="D33" s="107"/>
      <c r="E33" s="103">
        <v>3.2</v>
      </c>
      <c r="F33" s="104"/>
      <c r="G33" s="104"/>
      <c r="H33" s="104"/>
      <c r="I33" s="104"/>
      <c r="J33" s="105"/>
      <c r="K33" s="104"/>
      <c r="L33" s="107"/>
      <c r="M33" s="103">
        <v>5.5</v>
      </c>
      <c r="N33" s="107"/>
      <c r="O33" s="101">
        <v>3.2</v>
      </c>
      <c r="S33" s="54"/>
      <c r="X33" s="54"/>
    </row>
    <row r="34" spans="1:28" ht="15.95" customHeight="1" thickBot="1">
      <c r="G34" s="54"/>
      <c r="I34" s="72"/>
      <c r="M34" s="54"/>
      <c r="Q34" s="72"/>
      <c r="S34" s="54"/>
      <c r="W34" s="72"/>
      <c r="X34" s="54"/>
      <c r="AB34" s="72"/>
    </row>
    <row r="35" spans="1:28" ht="15.95" customHeight="1">
      <c r="A35" s="109" t="s">
        <v>52</v>
      </c>
      <c r="B35" s="61"/>
      <c r="C35" s="61"/>
      <c r="D35" s="61"/>
      <c r="E35" s="61"/>
      <c r="F35" s="61"/>
      <c r="G35" s="62"/>
      <c r="H35" s="61"/>
      <c r="I35" s="61"/>
      <c r="J35" s="61"/>
      <c r="K35" s="61"/>
      <c r="L35" s="61"/>
      <c r="M35" s="61"/>
      <c r="N35" s="61"/>
      <c r="O35" s="62"/>
      <c r="P35" s="61"/>
      <c r="Q35" s="61"/>
      <c r="R35" s="61"/>
      <c r="S35" s="61"/>
      <c r="T35" s="61"/>
      <c r="U35" s="62"/>
      <c r="V35" s="61"/>
      <c r="W35" s="61"/>
      <c r="X35" s="61"/>
      <c r="Y35" s="61"/>
      <c r="Z35" s="62"/>
    </row>
    <row r="36" spans="1:28" ht="15.95" customHeight="1">
      <c r="A36" s="75"/>
      <c r="B36" s="76" t="s">
        <v>40</v>
      </c>
      <c r="C36" s="77"/>
      <c r="D36" s="77"/>
      <c r="E36" s="78"/>
      <c r="F36" s="76" t="s">
        <v>41</v>
      </c>
      <c r="G36" s="77"/>
      <c r="H36" s="77"/>
      <c r="I36" s="77"/>
      <c r="J36" s="77"/>
      <c r="K36" s="78"/>
      <c r="L36" s="76" t="s">
        <v>42</v>
      </c>
      <c r="M36" s="77"/>
      <c r="N36" s="77"/>
      <c r="O36" s="78"/>
      <c r="S36" s="54"/>
      <c r="X36" s="54"/>
    </row>
    <row r="37" spans="1:28" ht="15.95" customHeight="1">
      <c r="A37" s="79"/>
      <c r="B37" s="80" t="s">
        <v>43</v>
      </c>
      <c r="C37" s="81"/>
      <c r="D37" s="80" t="s">
        <v>44</v>
      </c>
      <c r="E37" s="81"/>
      <c r="F37" s="80" t="s">
        <v>45</v>
      </c>
      <c r="G37" s="82"/>
      <c r="H37" s="80" t="s">
        <v>46</v>
      </c>
      <c r="I37" s="81"/>
      <c r="J37" s="82" t="s">
        <v>47</v>
      </c>
      <c r="K37" s="81"/>
      <c r="L37" s="80" t="s">
        <v>43</v>
      </c>
      <c r="M37" s="81"/>
      <c r="N37" s="80" t="s">
        <v>44</v>
      </c>
      <c r="O37" s="81"/>
      <c r="S37" s="54"/>
      <c r="X37" s="54"/>
    </row>
    <row r="38" spans="1:28" ht="15.95" customHeight="1">
      <c r="A38" s="84"/>
      <c r="B38" s="85" t="s">
        <v>49</v>
      </c>
      <c r="C38" s="86" t="s">
        <v>50</v>
      </c>
      <c r="D38" s="87" t="s">
        <v>49</v>
      </c>
      <c r="E38" s="88" t="s">
        <v>50</v>
      </c>
      <c r="F38" s="88" t="s">
        <v>43</v>
      </c>
      <c r="G38" s="89" t="s">
        <v>44</v>
      </c>
      <c r="H38" s="90" t="s">
        <v>43</v>
      </c>
      <c r="I38" s="91" t="s">
        <v>44</v>
      </c>
      <c r="J38" s="92" t="s">
        <v>43</v>
      </c>
      <c r="K38" s="91" t="s">
        <v>44</v>
      </c>
      <c r="L38" s="93" t="s">
        <v>49</v>
      </c>
      <c r="M38" s="86" t="s">
        <v>50</v>
      </c>
      <c r="N38" s="87" t="s">
        <v>49</v>
      </c>
      <c r="O38" s="94" t="s">
        <v>50</v>
      </c>
      <c r="S38" s="54"/>
      <c r="X38" s="54"/>
    </row>
    <row r="39" spans="1:28" ht="15.95" customHeight="1">
      <c r="A39" s="68" t="s">
        <v>32</v>
      </c>
      <c r="B39" s="96">
        <v>9</v>
      </c>
      <c r="C39" s="97">
        <v>1.5</v>
      </c>
      <c r="D39" s="98">
        <v>8</v>
      </c>
      <c r="E39" s="97">
        <v>1.4</v>
      </c>
      <c r="F39" s="99">
        <v>1.5</v>
      </c>
      <c r="G39" s="97">
        <v>1.4</v>
      </c>
      <c r="H39" s="97">
        <v>1.5</v>
      </c>
      <c r="I39" s="97">
        <v>1.4</v>
      </c>
      <c r="J39" s="97">
        <v>1.5</v>
      </c>
      <c r="K39" s="97">
        <v>1.4</v>
      </c>
      <c r="L39" s="100">
        <v>9</v>
      </c>
      <c r="M39" s="97">
        <v>1.5</v>
      </c>
      <c r="N39" s="98">
        <v>5</v>
      </c>
      <c r="O39" s="101">
        <v>1.6</v>
      </c>
      <c r="S39" s="54"/>
      <c r="X39" s="54"/>
    </row>
    <row r="40" spans="1:28" ht="15.95" customHeight="1">
      <c r="A40" s="68" t="s">
        <v>33</v>
      </c>
      <c r="B40" s="102"/>
      <c r="C40" s="103">
        <v>3.1</v>
      </c>
      <c r="D40" s="98"/>
      <c r="E40" s="103">
        <v>3</v>
      </c>
      <c r="F40" s="104"/>
      <c r="G40" s="104"/>
      <c r="H40" s="104"/>
      <c r="I40" s="104"/>
      <c r="J40" s="105"/>
      <c r="K40" s="104"/>
      <c r="L40" s="98"/>
      <c r="M40" s="103">
        <v>3.1</v>
      </c>
      <c r="N40" s="98"/>
      <c r="O40" s="101">
        <v>2.8</v>
      </c>
      <c r="S40" s="54"/>
      <c r="X40" s="54"/>
    </row>
    <row r="41" spans="1:28" ht="15.95" customHeight="1">
      <c r="A41" s="68" t="s">
        <v>51</v>
      </c>
      <c r="B41" s="106"/>
      <c r="C41" s="103">
        <v>9.3000000000000007</v>
      </c>
      <c r="D41" s="107"/>
      <c r="E41" s="103">
        <v>8.9</v>
      </c>
      <c r="F41" s="104"/>
      <c r="G41" s="104"/>
      <c r="H41" s="104"/>
      <c r="I41" s="104"/>
      <c r="J41" s="105"/>
      <c r="K41" s="104"/>
      <c r="L41" s="107"/>
      <c r="M41" s="103">
        <v>9.3000000000000007</v>
      </c>
      <c r="N41" s="107"/>
      <c r="O41" s="101">
        <v>8.6</v>
      </c>
      <c r="Q41" s="83"/>
      <c r="S41" s="54"/>
      <c r="X41" s="54"/>
    </row>
    <row r="42" spans="1:28" ht="15.95" customHeight="1">
      <c r="A42" s="54" t="s">
        <v>53</v>
      </c>
    </row>
    <row r="43" spans="1:28" ht="15.95" customHeight="1">
      <c r="A43" s="83" t="s">
        <v>67</v>
      </c>
    </row>
    <row r="44" spans="1:28" ht="15.95" customHeight="1">
      <c r="A44" s="95" t="s">
        <v>68</v>
      </c>
    </row>
    <row r="45" spans="1:28" ht="15.95" customHeight="1">
      <c r="A45" s="95"/>
    </row>
    <row r="46" spans="1:28" ht="15.95" customHeight="1" thickBot="1">
      <c r="A46" s="54"/>
    </row>
    <row r="47" spans="1:28" ht="15.95" customHeight="1">
      <c r="A47" s="58" t="s">
        <v>54</v>
      </c>
      <c r="B47" s="59"/>
      <c r="C47" s="60"/>
    </row>
    <row r="48" spans="1:28" ht="15.95" customHeight="1">
      <c r="A48" s="54" t="s">
        <v>55</v>
      </c>
      <c r="J48" s="72"/>
      <c r="K48" s="72"/>
      <c r="M48" s="54" t="s">
        <v>56</v>
      </c>
      <c r="S48" s="54"/>
      <c r="U48" s="72"/>
      <c r="X48" s="63" t="s">
        <v>57</v>
      </c>
      <c r="Z48" s="72"/>
    </row>
    <row r="49" spans="1:28" ht="15.95" customHeight="1">
      <c r="A49" s="110"/>
      <c r="B49" s="111" t="s">
        <v>58</v>
      </c>
      <c r="C49" s="112"/>
      <c r="D49" s="113" t="s">
        <v>59</v>
      </c>
      <c r="E49" s="114"/>
      <c r="F49" s="115" t="s">
        <v>60</v>
      </c>
      <c r="G49" s="114"/>
      <c r="H49" s="112" t="s">
        <v>61</v>
      </c>
      <c r="I49" s="116"/>
      <c r="M49" s="117" t="s">
        <v>62</v>
      </c>
      <c r="N49" s="118"/>
      <c r="O49" s="119">
        <v>1</v>
      </c>
      <c r="P49" s="119">
        <v>2</v>
      </c>
      <c r="Q49" s="119">
        <v>3</v>
      </c>
      <c r="R49" s="119">
        <v>4</v>
      </c>
      <c r="S49" s="119">
        <v>5</v>
      </c>
      <c r="T49" s="119">
        <v>6</v>
      </c>
      <c r="U49" s="119">
        <v>7</v>
      </c>
      <c r="V49" s="119">
        <v>8</v>
      </c>
      <c r="W49" s="120">
        <v>9</v>
      </c>
      <c r="X49" s="121">
        <v>10</v>
      </c>
    </row>
    <row r="50" spans="1:28" ht="15.95" customHeight="1">
      <c r="A50" s="122" t="s">
        <v>63</v>
      </c>
      <c r="B50" s="123">
        <v>15.9</v>
      </c>
      <c r="C50" s="123"/>
      <c r="D50" s="124">
        <v>2.6</v>
      </c>
      <c r="E50" s="125"/>
      <c r="F50" s="123">
        <v>2.6</v>
      </c>
      <c r="G50" s="125"/>
      <c r="H50" s="123">
        <v>15.9</v>
      </c>
      <c r="I50" s="125"/>
      <c r="M50" s="126" t="s">
        <v>63</v>
      </c>
      <c r="N50" s="127"/>
      <c r="O50" s="128">
        <v>7.5</v>
      </c>
      <c r="P50" s="128">
        <v>9.3000000000000007</v>
      </c>
      <c r="Q50" s="128">
        <v>11</v>
      </c>
      <c r="R50" s="128">
        <v>12.1</v>
      </c>
      <c r="S50" s="128">
        <v>13.2</v>
      </c>
      <c r="T50" s="128">
        <v>13.9</v>
      </c>
      <c r="U50" s="128">
        <v>14.6</v>
      </c>
      <c r="V50" s="128">
        <v>15.1</v>
      </c>
      <c r="W50" s="129">
        <v>15.5</v>
      </c>
      <c r="X50" s="130">
        <v>16</v>
      </c>
    </row>
    <row r="51" spans="1:28" ht="15.95" customHeight="1">
      <c r="A51" s="131" t="s">
        <v>64</v>
      </c>
      <c r="B51" s="132">
        <v>15.9</v>
      </c>
      <c r="C51" s="132"/>
      <c r="D51" s="133">
        <v>2.6</v>
      </c>
      <c r="E51" s="134"/>
      <c r="F51" s="132">
        <v>2.6</v>
      </c>
      <c r="G51" s="134"/>
      <c r="H51" s="132">
        <v>15.9</v>
      </c>
      <c r="I51" s="134"/>
      <c r="M51" s="135" t="s">
        <v>64</v>
      </c>
      <c r="N51" s="136"/>
      <c r="O51" s="128">
        <v>7.5</v>
      </c>
      <c r="P51" s="128">
        <v>9.3000000000000007</v>
      </c>
      <c r="Q51" s="128">
        <v>11</v>
      </c>
      <c r="R51" s="128">
        <v>12.1</v>
      </c>
      <c r="S51" s="128">
        <v>13.2</v>
      </c>
      <c r="T51" s="128">
        <v>13.9</v>
      </c>
      <c r="U51" s="128">
        <v>14.6</v>
      </c>
      <c r="V51" s="128">
        <v>15.1</v>
      </c>
      <c r="W51" s="129">
        <v>15.5</v>
      </c>
      <c r="X51" s="130">
        <v>16</v>
      </c>
      <c r="AB51" s="72"/>
    </row>
    <row r="52" spans="1:28" ht="15.95" customHeight="1">
      <c r="A52" s="54" t="s">
        <v>53</v>
      </c>
      <c r="B52" s="54" t="s">
        <v>65</v>
      </c>
      <c r="M52" s="54" t="s">
        <v>53</v>
      </c>
      <c r="O52" s="54" t="s">
        <v>69</v>
      </c>
    </row>
    <row r="53" spans="1:28" ht="15.95" customHeight="1">
      <c r="A53" s="54"/>
    </row>
    <row r="54" spans="1:28" ht="15.95" customHeight="1">
      <c r="A54" s="54"/>
    </row>
  </sheetData>
  <mergeCells count="48">
    <mergeCell ref="B51:C51"/>
    <mergeCell ref="D51:E51"/>
    <mergeCell ref="F51:G51"/>
    <mergeCell ref="H51:I51"/>
    <mergeCell ref="M51:N51"/>
    <mergeCell ref="B49:C49"/>
    <mergeCell ref="D49:E49"/>
    <mergeCell ref="F49:G49"/>
    <mergeCell ref="H49:I49"/>
    <mergeCell ref="M49:N49"/>
    <mergeCell ref="B50:C50"/>
    <mergeCell ref="D50:E50"/>
    <mergeCell ref="F50:G50"/>
    <mergeCell ref="H50:I50"/>
    <mergeCell ref="M50:N50"/>
    <mergeCell ref="N37:O37"/>
    <mergeCell ref="B39:B41"/>
    <mergeCell ref="D39:D41"/>
    <mergeCell ref="L39:L41"/>
    <mergeCell ref="N39:N41"/>
    <mergeCell ref="A47:C47"/>
    <mergeCell ref="A36:A38"/>
    <mergeCell ref="B36:E36"/>
    <mergeCell ref="F36:K36"/>
    <mergeCell ref="L36:O36"/>
    <mergeCell ref="B37:C37"/>
    <mergeCell ref="D37:E37"/>
    <mergeCell ref="F37:G37"/>
    <mergeCell ref="H37:I37"/>
    <mergeCell ref="J37:K37"/>
    <mergeCell ref="L37:M37"/>
    <mergeCell ref="J29:K29"/>
    <mergeCell ref="L29:M29"/>
    <mergeCell ref="N29:O29"/>
    <mergeCell ref="B31:B33"/>
    <mergeCell ref="D31:D33"/>
    <mergeCell ref="L31:L33"/>
    <mergeCell ref="N31:N33"/>
    <mergeCell ref="A5:C5"/>
    <mergeCell ref="A25:C25"/>
    <mergeCell ref="A28:A30"/>
    <mergeCell ref="B28:E28"/>
    <mergeCell ref="F28:K28"/>
    <mergeCell ref="L28:O28"/>
    <mergeCell ref="B29:C29"/>
    <mergeCell ref="D29:E29"/>
    <mergeCell ref="F29:G29"/>
    <mergeCell ref="H29:I29"/>
  </mergeCells>
  <phoneticPr fontId="3"/>
  <printOptions horizontalCentered="1"/>
  <pageMargins left="0.70866141732283472" right="0.70866141732283472" top="0.78740157480314965" bottom="0.47244094488188981" header="0.59055118110236227" footer="0.31496062992125984"/>
  <pageSetup paperSize="9" scale="60" orientation="landscape" horizontalDpi="400" verticalDpi="400" r:id="rId1"/>
  <headerFooter scaleWithDoc="0">
    <oddFooter>&amp;C&amp;"ＭＳ Ｐゴシック,標準"&amp;9(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67"/>
  <sheetViews>
    <sheetView showGridLines="0" zoomScale="80" zoomScaleNormal="80" workbookViewId="0">
      <selection sqref="A1:E1"/>
    </sheetView>
  </sheetViews>
  <sheetFormatPr defaultColWidth="8" defaultRowHeight="12" customHeight="1"/>
  <cols>
    <col min="1" max="1" width="8.7109375" style="73" customWidth="1"/>
    <col min="2" max="19" width="7.5703125" style="73" customWidth="1"/>
    <col min="20" max="16384" width="8" style="73"/>
  </cols>
  <sheetData>
    <row r="1" spans="1:25" s="144" customFormat="1" ht="24" customHeight="1">
      <c r="A1" s="140" t="s">
        <v>99</v>
      </c>
      <c r="B1" s="141"/>
      <c r="C1" s="141"/>
      <c r="D1" s="141"/>
      <c r="E1" s="141"/>
      <c r="F1" s="141"/>
      <c r="G1" s="141"/>
      <c r="H1" s="141"/>
      <c r="I1" s="141"/>
      <c r="J1" s="141"/>
      <c r="K1" s="141"/>
      <c r="L1" s="141"/>
      <c r="M1" s="141"/>
      <c r="N1" s="141"/>
      <c r="O1" s="141"/>
      <c r="P1" s="141"/>
      <c r="Q1" s="141"/>
      <c r="R1" s="141"/>
      <c r="S1" s="142"/>
      <c r="T1" s="142"/>
      <c r="U1" s="142"/>
      <c r="V1" s="142"/>
      <c r="W1" s="142"/>
      <c r="X1" s="142"/>
      <c r="Y1" s="143"/>
    </row>
    <row r="2" spans="1:25" ht="12" customHeight="1" thickBot="1">
      <c r="S2" s="63"/>
    </row>
    <row r="3" spans="1:25" ht="12" customHeight="1">
      <c r="A3" s="145" t="s">
        <v>70</v>
      </c>
      <c r="B3" s="145"/>
      <c r="C3" s="145"/>
      <c r="D3" s="37" t="s">
        <v>71</v>
      </c>
      <c r="E3" s="145"/>
      <c r="F3" s="145"/>
      <c r="G3" s="145"/>
      <c r="H3" s="145"/>
      <c r="I3" s="145"/>
      <c r="J3" s="145"/>
      <c r="K3" s="145"/>
      <c r="L3" s="145"/>
      <c r="M3" s="145"/>
      <c r="N3" s="145"/>
      <c r="O3" s="145"/>
      <c r="P3" s="145"/>
      <c r="Q3" s="145"/>
      <c r="R3" s="145"/>
      <c r="S3" s="146"/>
      <c r="T3" s="145"/>
      <c r="U3" s="145"/>
      <c r="V3" s="145"/>
      <c r="W3" s="145"/>
      <c r="X3" s="145"/>
      <c r="Y3" s="145"/>
    </row>
    <row r="4" spans="1:25" ht="16.5" customHeight="1">
      <c r="A4" s="147"/>
      <c r="B4" s="148">
        <v>1</v>
      </c>
      <c r="C4" s="149">
        <v>2</v>
      </c>
      <c r="D4" s="150">
        <v>3</v>
      </c>
      <c r="E4" s="149">
        <v>4</v>
      </c>
      <c r="F4" s="149">
        <v>5</v>
      </c>
      <c r="G4" s="149">
        <v>6</v>
      </c>
      <c r="H4" s="149">
        <v>7</v>
      </c>
      <c r="I4" s="149">
        <v>8</v>
      </c>
      <c r="J4" s="149">
        <v>9</v>
      </c>
      <c r="K4" s="149">
        <v>10</v>
      </c>
      <c r="L4" s="149">
        <v>11</v>
      </c>
      <c r="M4" s="149">
        <v>12</v>
      </c>
      <c r="N4" s="149">
        <v>13</v>
      </c>
      <c r="O4" s="149">
        <v>14</v>
      </c>
      <c r="P4" s="149">
        <v>15</v>
      </c>
      <c r="Q4" s="149">
        <v>16</v>
      </c>
      <c r="R4" s="149">
        <v>17</v>
      </c>
      <c r="S4" s="149">
        <v>18</v>
      </c>
      <c r="T4" s="151">
        <v>19</v>
      </c>
      <c r="U4" s="151">
        <v>20</v>
      </c>
      <c r="V4" s="151">
        <v>21</v>
      </c>
      <c r="W4" s="151">
        <v>22</v>
      </c>
      <c r="X4" s="151">
        <v>23</v>
      </c>
      <c r="Y4" s="152">
        <v>24</v>
      </c>
    </row>
    <row r="5" spans="1:25" ht="12" customHeight="1">
      <c r="A5" s="153" t="s">
        <v>85</v>
      </c>
      <c r="B5" s="184">
        <v>5.2</v>
      </c>
      <c r="C5" s="185">
        <v>4.7</v>
      </c>
      <c r="D5" s="185">
        <v>4.3</v>
      </c>
      <c r="E5" s="185">
        <v>3.9</v>
      </c>
      <c r="F5" s="185">
        <v>3.5</v>
      </c>
      <c r="G5" s="185">
        <v>3.2</v>
      </c>
      <c r="H5" s="185">
        <v>3</v>
      </c>
      <c r="I5" s="185">
        <v>3</v>
      </c>
      <c r="J5" s="185">
        <v>3.3</v>
      </c>
      <c r="K5" s="185">
        <v>3.9</v>
      </c>
      <c r="L5" s="185">
        <v>4.7</v>
      </c>
      <c r="M5" s="185">
        <v>5.7</v>
      </c>
      <c r="N5" s="185">
        <v>6.6</v>
      </c>
      <c r="O5" s="185">
        <v>7.5</v>
      </c>
      <c r="P5" s="185">
        <v>8.1999999999999993</v>
      </c>
      <c r="Q5" s="185">
        <v>8.6999999999999993</v>
      </c>
      <c r="R5" s="185">
        <v>9</v>
      </c>
      <c r="S5" s="185">
        <v>9</v>
      </c>
      <c r="T5" s="186">
        <v>8.8000000000000007</v>
      </c>
      <c r="U5" s="186">
        <v>8.1999999999999993</v>
      </c>
      <c r="V5" s="186">
        <v>7.6</v>
      </c>
      <c r="W5" s="186">
        <v>6.9</v>
      </c>
      <c r="X5" s="186">
        <v>6.3</v>
      </c>
      <c r="Y5" s="187">
        <v>5.7</v>
      </c>
    </row>
    <row r="6" spans="1:25" ht="12" customHeight="1">
      <c r="A6" s="154" t="s">
        <v>72</v>
      </c>
      <c r="B6" s="155">
        <v>8</v>
      </c>
      <c r="C6" s="156">
        <v>7</v>
      </c>
      <c r="D6" s="156">
        <v>6.2</v>
      </c>
      <c r="E6" s="156">
        <v>5.4</v>
      </c>
      <c r="F6" s="156">
        <v>4.8</v>
      </c>
      <c r="G6" s="156">
        <v>4.2</v>
      </c>
      <c r="H6" s="156">
        <v>3.9</v>
      </c>
      <c r="I6" s="156">
        <v>4.2</v>
      </c>
      <c r="J6" s="156">
        <v>5.2</v>
      </c>
      <c r="K6" s="156">
        <v>7</v>
      </c>
      <c r="L6" s="156">
        <v>9.3000000000000007</v>
      </c>
      <c r="M6" s="156">
        <v>12</v>
      </c>
      <c r="N6" s="156">
        <v>14.7</v>
      </c>
      <c r="O6" s="156">
        <v>17.100000000000001</v>
      </c>
      <c r="P6" s="156">
        <v>19</v>
      </c>
      <c r="Q6" s="156">
        <v>20.100000000000001</v>
      </c>
      <c r="R6" s="156">
        <v>20.3</v>
      </c>
      <c r="S6" s="156">
        <v>19.600000000000001</v>
      </c>
      <c r="T6" s="157">
        <v>18.100000000000001</v>
      </c>
      <c r="U6" s="157">
        <v>16.2</v>
      </c>
      <c r="V6" s="157">
        <v>14.1</v>
      </c>
      <c r="W6" s="157">
        <v>12.3</v>
      </c>
      <c r="X6" s="157">
        <v>10.6</v>
      </c>
      <c r="Y6" s="158">
        <v>9.1999999999999993</v>
      </c>
    </row>
    <row r="7" spans="1:25" ht="12" customHeight="1">
      <c r="A7" s="154" t="s">
        <v>73</v>
      </c>
      <c r="B7" s="188">
        <v>5.3</v>
      </c>
      <c r="C7" s="189">
        <v>4.9000000000000004</v>
      </c>
      <c r="D7" s="189">
        <v>4.4000000000000004</v>
      </c>
      <c r="E7" s="189">
        <v>4</v>
      </c>
      <c r="F7" s="189">
        <v>3.6</v>
      </c>
      <c r="G7" s="189">
        <v>3.3</v>
      </c>
      <c r="H7" s="189">
        <v>3.1</v>
      </c>
      <c r="I7" s="189">
        <v>3.2</v>
      </c>
      <c r="J7" s="189">
        <v>3.5</v>
      </c>
      <c r="K7" s="189">
        <v>4.0999999999999996</v>
      </c>
      <c r="L7" s="189">
        <v>4.9000000000000004</v>
      </c>
      <c r="M7" s="189">
        <v>5.8</v>
      </c>
      <c r="N7" s="189">
        <v>6.7</v>
      </c>
      <c r="O7" s="189">
        <v>7.5</v>
      </c>
      <c r="P7" s="189">
        <v>8.1999999999999993</v>
      </c>
      <c r="Q7" s="189">
        <v>8.8000000000000007</v>
      </c>
      <c r="R7" s="189">
        <v>9.1</v>
      </c>
      <c r="S7" s="189">
        <v>9.1999999999999993</v>
      </c>
      <c r="T7" s="190">
        <v>9.1</v>
      </c>
      <c r="U7" s="190">
        <v>8.6999999999999993</v>
      </c>
      <c r="V7" s="190">
        <v>8</v>
      </c>
      <c r="W7" s="190">
        <v>7.2</v>
      </c>
      <c r="X7" s="190">
        <v>6.5</v>
      </c>
      <c r="Y7" s="191">
        <v>5.9</v>
      </c>
    </row>
    <row r="8" spans="1:25" ht="12" customHeight="1">
      <c r="A8" s="154" t="s">
        <v>74</v>
      </c>
      <c r="B8" s="188">
        <v>5.3</v>
      </c>
      <c r="C8" s="189">
        <v>4.8</v>
      </c>
      <c r="D8" s="189">
        <v>4.4000000000000004</v>
      </c>
      <c r="E8" s="189">
        <v>4</v>
      </c>
      <c r="F8" s="189">
        <v>3.6</v>
      </c>
      <c r="G8" s="189">
        <v>3.3</v>
      </c>
      <c r="H8" s="189">
        <v>3.3</v>
      </c>
      <c r="I8" s="189">
        <v>4</v>
      </c>
      <c r="J8" s="189">
        <v>5</v>
      </c>
      <c r="K8" s="189">
        <v>6.1</v>
      </c>
      <c r="L8" s="189">
        <v>7.2</v>
      </c>
      <c r="M8" s="189">
        <v>8</v>
      </c>
      <c r="N8" s="189">
        <v>8.6</v>
      </c>
      <c r="O8" s="189">
        <v>9.1</v>
      </c>
      <c r="P8" s="189">
        <v>9.5</v>
      </c>
      <c r="Q8" s="189">
        <v>9.8000000000000007</v>
      </c>
      <c r="R8" s="189">
        <v>9.9</v>
      </c>
      <c r="S8" s="189">
        <v>9.6999999999999993</v>
      </c>
      <c r="T8" s="190">
        <v>9.3000000000000007</v>
      </c>
      <c r="U8" s="190">
        <v>8.6999999999999993</v>
      </c>
      <c r="V8" s="190">
        <v>8</v>
      </c>
      <c r="W8" s="190">
        <v>7.2</v>
      </c>
      <c r="X8" s="190">
        <v>6.5</v>
      </c>
      <c r="Y8" s="191">
        <v>5.9</v>
      </c>
    </row>
    <row r="9" spans="1:25" ht="12" customHeight="1">
      <c r="A9" s="154" t="s">
        <v>75</v>
      </c>
      <c r="B9" s="188">
        <v>5.5</v>
      </c>
      <c r="C9" s="189">
        <v>5</v>
      </c>
      <c r="D9" s="189">
        <v>4.5</v>
      </c>
      <c r="E9" s="189">
        <v>4.0999999999999996</v>
      </c>
      <c r="F9" s="189">
        <v>3.7</v>
      </c>
      <c r="G9" s="189">
        <v>3.3</v>
      </c>
      <c r="H9" s="189">
        <v>3.5</v>
      </c>
      <c r="I9" s="189">
        <v>4.3</v>
      </c>
      <c r="J9" s="189">
        <v>5.6</v>
      </c>
      <c r="K9" s="189">
        <v>7.3</v>
      </c>
      <c r="L9" s="189">
        <v>8.9</v>
      </c>
      <c r="M9" s="189">
        <v>10</v>
      </c>
      <c r="N9" s="189">
        <v>10.7</v>
      </c>
      <c r="O9" s="189">
        <v>11</v>
      </c>
      <c r="P9" s="189">
        <v>11.1</v>
      </c>
      <c r="Q9" s="189">
        <v>11.1</v>
      </c>
      <c r="R9" s="189">
        <v>10.9</v>
      </c>
      <c r="S9" s="189">
        <v>10.6</v>
      </c>
      <c r="T9" s="190">
        <v>10</v>
      </c>
      <c r="U9" s="190">
        <v>9.3000000000000007</v>
      </c>
      <c r="V9" s="190">
        <v>8.4</v>
      </c>
      <c r="W9" s="190">
        <v>7.6</v>
      </c>
      <c r="X9" s="190">
        <v>6.8</v>
      </c>
      <c r="Y9" s="191">
        <v>6.1</v>
      </c>
    </row>
    <row r="10" spans="1:25" ht="12" customHeight="1">
      <c r="A10" s="154" t="s">
        <v>76</v>
      </c>
      <c r="B10" s="188">
        <v>5.6</v>
      </c>
      <c r="C10" s="189">
        <v>5</v>
      </c>
      <c r="D10" s="189">
        <v>4.5999999999999996</v>
      </c>
      <c r="E10" s="189">
        <v>4.0999999999999996</v>
      </c>
      <c r="F10" s="189">
        <v>3.7</v>
      </c>
      <c r="G10" s="189">
        <v>3.3</v>
      </c>
      <c r="H10" s="189">
        <v>3.3</v>
      </c>
      <c r="I10" s="189">
        <v>3.8</v>
      </c>
      <c r="J10" s="189">
        <v>4.9000000000000004</v>
      </c>
      <c r="K10" s="189">
        <v>6.5</v>
      </c>
      <c r="L10" s="189">
        <v>8.1</v>
      </c>
      <c r="M10" s="189">
        <v>9.6999999999999993</v>
      </c>
      <c r="N10" s="189">
        <v>10.8</v>
      </c>
      <c r="O10" s="189">
        <v>11.3</v>
      </c>
      <c r="P10" s="189">
        <v>11.5</v>
      </c>
      <c r="Q10" s="189">
        <v>11.4</v>
      </c>
      <c r="R10" s="189">
        <v>11.2</v>
      </c>
      <c r="S10" s="189">
        <v>10.8</v>
      </c>
      <c r="T10" s="190">
        <v>10.199999999999999</v>
      </c>
      <c r="U10" s="190">
        <v>9.4</v>
      </c>
      <c r="V10" s="190">
        <v>8.5</v>
      </c>
      <c r="W10" s="190">
        <v>7.7</v>
      </c>
      <c r="X10" s="190">
        <v>6.9</v>
      </c>
      <c r="Y10" s="191">
        <v>6.2</v>
      </c>
    </row>
    <row r="11" spans="1:25" ht="12" customHeight="1">
      <c r="A11" s="154" t="s">
        <v>77</v>
      </c>
      <c r="B11" s="188">
        <v>5.6</v>
      </c>
      <c r="C11" s="189">
        <v>5.0999999999999996</v>
      </c>
      <c r="D11" s="189">
        <v>4.5999999999999996</v>
      </c>
      <c r="E11" s="189">
        <v>4.0999999999999996</v>
      </c>
      <c r="F11" s="189">
        <v>3.7</v>
      </c>
      <c r="G11" s="189">
        <v>3.3</v>
      </c>
      <c r="H11" s="189">
        <v>3.1</v>
      </c>
      <c r="I11" s="189">
        <v>3.1</v>
      </c>
      <c r="J11" s="189">
        <v>3.5</v>
      </c>
      <c r="K11" s="189">
        <v>4.3</v>
      </c>
      <c r="L11" s="189">
        <v>5.6</v>
      </c>
      <c r="M11" s="189">
        <v>7</v>
      </c>
      <c r="N11" s="189">
        <v>8.5</v>
      </c>
      <c r="O11" s="189">
        <v>9.8000000000000007</v>
      </c>
      <c r="P11" s="189">
        <v>10.8</v>
      </c>
      <c r="Q11" s="189">
        <v>11.3</v>
      </c>
      <c r="R11" s="189">
        <v>11.3</v>
      </c>
      <c r="S11" s="189">
        <v>11</v>
      </c>
      <c r="T11" s="190">
        <v>10.3</v>
      </c>
      <c r="U11" s="190">
        <v>9.5</v>
      </c>
      <c r="V11" s="190">
        <v>8.6</v>
      </c>
      <c r="W11" s="190">
        <v>7.7</v>
      </c>
      <c r="X11" s="190">
        <v>7</v>
      </c>
      <c r="Y11" s="191">
        <v>6.2</v>
      </c>
    </row>
    <row r="12" spans="1:25" ht="12" customHeight="1">
      <c r="A12" s="154" t="s">
        <v>78</v>
      </c>
      <c r="B12" s="188">
        <v>6.4</v>
      </c>
      <c r="C12" s="189">
        <v>5.7</v>
      </c>
      <c r="D12" s="189">
        <v>5.0999999999999996</v>
      </c>
      <c r="E12" s="189">
        <v>4.5</v>
      </c>
      <c r="F12" s="189">
        <v>4</v>
      </c>
      <c r="G12" s="189">
        <v>3.6</v>
      </c>
      <c r="H12" s="189">
        <v>3.3</v>
      </c>
      <c r="I12" s="189">
        <v>3.3</v>
      </c>
      <c r="J12" s="189">
        <v>3.5</v>
      </c>
      <c r="K12" s="189">
        <v>4.0999999999999996</v>
      </c>
      <c r="L12" s="189">
        <v>4.9000000000000004</v>
      </c>
      <c r="M12" s="189">
        <v>5.9</v>
      </c>
      <c r="N12" s="189">
        <v>7.1</v>
      </c>
      <c r="O12" s="189">
        <v>8.6</v>
      </c>
      <c r="P12" s="189">
        <v>10.199999999999999</v>
      </c>
      <c r="Q12" s="189">
        <v>11.6</v>
      </c>
      <c r="R12" s="189">
        <v>12.6</v>
      </c>
      <c r="S12" s="189">
        <v>12.9</v>
      </c>
      <c r="T12" s="190">
        <v>12.5</v>
      </c>
      <c r="U12" s="190">
        <v>11.6</v>
      </c>
      <c r="V12" s="190">
        <v>10.4</v>
      </c>
      <c r="W12" s="190">
        <v>9.1999999999999993</v>
      </c>
      <c r="X12" s="190">
        <v>8.1</v>
      </c>
      <c r="Y12" s="191">
        <v>7.2</v>
      </c>
    </row>
    <row r="13" spans="1:25" ht="12" customHeight="1">
      <c r="A13" s="154" t="s">
        <v>79</v>
      </c>
      <c r="B13" s="188">
        <v>6.7</v>
      </c>
      <c r="C13" s="189">
        <v>6</v>
      </c>
      <c r="D13" s="189">
        <v>5.3</v>
      </c>
      <c r="E13" s="189">
        <v>4.7</v>
      </c>
      <c r="F13" s="189">
        <v>4.2</v>
      </c>
      <c r="G13" s="189">
        <v>3.7</v>
      </c>
      <c r="H13" s="189">
        <v>3.4</v>
      </c>
      <c r="I13" s="189">
        <v>3.3</v>
      </c>
      <c r="J13" s="189">
        <v>3.6</v>
      </c>
      <c r="K13" s="189">
        <v>4.0999999999999996</v>
      </c>
      <c r="L13" s="189">
        <v>4.9000000000000004</v>
      </c>
      <c r="M13" s="189">
        <v>5.8</v>
      </c>
      <c r="N13" s="189">
        <v>6.8</v>
      </c>
      <c r="O13" s="189">
        <v>8</v>
      </c>
      <c r="P13" s="189">
        <v>9.5</v>
      </c>
      <c r="Q13" s="189">
        <v>11.1</v>
      </c>
      <c r="R13" s="189">
        <v>12.5</v>
      </c>
      <c r="S13" s="189">
        <v>13.3</v>
      </c>
      <c r="T13" s="190">
        <v>13.3</v>
      </c>
      <c r="U13" s="190">
        <v>12.4</v>
      </c>
      <c r="V13" s="190">
        <v>11.1</v>
      </c>
      <c r="W13" s="190">
        <v>9.8000000000000007</v>
      </c>
      <c r="X13" s="190">
        <v>8.6</v>
      </c>
      <c r="Y13" s="191">
        <v>7.6</v>
      </c>
    </row>
    <row r="14" spans="1:25" ht="12" customHeight="1">
      <c r="A14" s="159" t="s">
        <v>80</v>
      </c>
      <c r="B14" s="192">
        <v>6.2</v>
      </c>
      <c r="C14" s="193">
        <v>5.6</v>
      </c>
      <c r="D14" s="193">
        <v>5</v>
      </c>
      <c r="E14" s="193">
        <v>4.5</v>
      </c>
      <c r="F14" s="193">
        <v>4</v>
      </c>
      <c r="G14" s="193">
        <v>3.6</v>
      </c>
      <c r="H14" s="193">
        <v>3.3</v>
      </c>
      <c r="I14" s="193">
        <v>3.2</v>
      </c>
      <c r="J14" s="193">
        <v>3.5</v>
      </c>
      <c r="K14" s="193">
        <v>4.0999999999999996</v>
      </c>
      <c r="L14" s="193">
        <v>4.9000000000000004</v>
      </c>
      <c r="M14" s="193">
        <v>5.8</v>
      </c>
      <c r="N14" s="193">
        <v>6.7</v>
      </c>
      <c r="O14" s="193">
        <v>7.6</v>
      </c>
      <c r="P14" s="193">
        <v>8.6</v>
      </c>
      <c r="Q14" s="193">
        <v>9.6999999999999993</v>
      </c>
      <c r="R14" s="193">
        <v>10.8</v>
      </c>
      <c r="S14" s="193">
        <v>11.6</v>
      </c>
      <c r="T14" s="194">
        <v>11.7</v>
      </c>
      <c r="U14" s="194">
        <v>11</v>
      </c>
      <c r="V14" s="194">
        <v>10</v>
      </c>
      <c r="W14" s="194">
        <v>8.9</v>
      </c>
      <c r="X14" s="194">
        <v>7.9</v>
      </c>
      <c r="Y14" s="195">
        <v>7</v>
      </c>
    </row>
    <row r="15" spans="1:25" ht="12" customHeight="1" thickBot="1"/>
    <row r="16" spans="1:25" ht="12" customHeight="1">
      <c r="A16" s="145" t="s">
        <v>70</v>
      </c>
      <c r="B16" s="145"/>
      <c r="C16" s="145"/>
      <c r="D16" s="38" t="s">
        <v>35</v>
      </c>
      <c r="E16" s="145"/>
      <c r="F16" s="145"/>
      <c r="G16" s="145"/>
      <c r="H16" s="145"/>
      <c r="I16" s="145"/>
      <c r="J16" s="145"/>
      <c r="K16" s="145"/>
      <c r="L16" s="145"/>
      <c r="M16" s="145"/>
      <c r="N16" s="145"/>
      <c r="O16" s="145"/>
      <c r="P16" s="145"/>
      <c r="Q16" s="145"/>
      <c r="R16" s="145"/>
      <c r="S16" s="146"/>
      <c r="T16" s="145"/>
      <c r="U16" s="145"/>
      <c r="V16" s="145"/>
      <c r="W16" s="145"/>
      <c r="X16" s="145"/>
      <c r="Y16" s="145"/>
    </row>
    <row r="17" spans="1:25" ht="16.5" customHeight="1">
      <c r="A17" s="147"/>
      <c r="B17" s="148">
        <v>1</v>
      </c>
      <c r="C17" s="149">
        <v>2</v>
      </c>
      <c r="D17" s="150">
        <v>3</v>
      </c>
      <c r="E17" s="149">
        <v>4</v>
      </c>
      <c r="F17" s="149">
        <v>5</v>
      </c>
      <c r="G17" s="149">
        <v>6</v>
      </c>
      <c r="H17" s="149">
        <v>7</v>
      </c>
      <c r="I17" s="149">
        <v>8</v>
      </c>
      <c r="J17" s="149">
        <v>9</v>
      </c>
      <c r="K17" s="149">
        <v>10</v>
      </c>
      <c r="L17" s="149">
        <v>11</v>
      </c>
      <c r="M17" s="149">
        <v>12</v>
      </c>
      <c r="N17" s="149">
        <v>13</v>
      </c>
      <c r="O17" s="149">
        <v>14</v>
      </c>
      <c r="P17" s="149">
        <v>15</v>
      </c>
      <c r="Q17" s="149">
        <v>16</v>
      </c>
      <c r="R17" s="149">
        <v>17</v>
      </c>
      <c r="S17" s="149">
        <v>18</v>
      </c>
      <c r="T17" s="151">
        <v>19</v>
      </c>
      <c r="U17" s="151">
        <v>20</v>
      </c>
      <c r="V17" s="151">
        <v>21</v>
      </c>
      <c r="W17" s="151">
        <v>22</v>
      </c>
      <c r="X17" s="151">
        <v>23</v>
      </c>
      <c r="Y17" s="152">
        <v>24</v>
      </c>
    </row>
    <row r="18" spans="1:25" ht="12" customHeight="1">
      <c r="A18" s="153" t="s">
        <v>86</v>
      </c>
      <c r="B18" s="184">
        <v>4.5</v>
      </c>
      <c r="C18" s="185">
        <v>4</v>
      </c>
      <c r="D18" s="185">
        <v>3.6</v>
      </c>
      <c r="E18" s="185">
        <v>3.2</v>
      </c>
      <c r="F18" s="185">
        <v>2.8</v>
      </c>
      <c r="G18" s="185">
        <v>2.5</v>
      </c>
      <c r="H18" s="185">
        <v>2.2999999999999998</v>
      </c>
      <c r="I18" s="185">
        <v>2.4</v>
      </c>
      <c r="J18" s="185">
        <v>2.7</v>
      </c>
      <c r="K18" s="185">
        <v>3.2</v>
      </c>
      <c r="L18" s="185">
        <v>4</v>
      </c>
      <c r="M18" s="185">
        <v>4.8</v>
      </c>
      <c r="N18" s="185">
        <v>5.6</v>
      </c>
      <c r="O18" s="185">
        <v>6.4</v>
      </c>
      <c r="P18" s="185">
        <v>7</v>
      </c>
      <c r="Q18" s="185">
        <v>7.5</v>
      </c>
      <c r="R18" s="185">
        <v>7.8</v>
      </c>
      <c r="S18" s="185">
        <v>7.9</v>
      </c>
      <c r="T18" s="186">
        <v>7.8</v>
      </c>
      <c r="U18" s="186">
        <v>7.4</v>
      </c>
      <c r="V18" s="186">
        <v>6.8</v>
      </c>
      <c r="W18" s="186">
        <v>6.2</v>
      </c>
      <c r="X18" s="186">
        <v>5.6</v>
      </c>
      <c r="Y18" s="187">
        <v>5</v>
      </c>
    </row>
    <row r="19" spans="1:25" ht="12" customHeight="1">
      <c r="A19" s="154" t="s">
        <v>72</v>
      </c>
      <c r="B19" s="155">
        <v>8.6</v>
      </c>
      <c r="C19" s="156">
        <v>7.3</v>
      </c>
      <c r="D19" s="156">
        <v>6.3</v>
      </c>
      <c r="E19" s="156">
        <v>5.4</v>
      </c>
      <c r="F19" s="156">
        <v>4.5999999999999996</v>
      </c>
      <c r="G19" s="156">
        <v>4</v>
      </c>
      <c r="H19" s="156">
        <v>3.7</v>
      </c>
      <c r="I19" s="156">
        <v>4.2</v>
      </c>
      <c r="J19" s="156">
        <v>5.6</v>
      </c>
      <c r="K19" s="156">
        <v>8</v>
      </c>
      <c r="L19" s="156">
        <v>10.9</v>
      </c>
      <c r="M19" s="156">
        <v>14.1</v>
      </c>
      <c r="N19" s="156">
        <v>17.3</v>
      </c>
      <c r="O19" s="156">
        <v>20.100000000000001</v>
      </c>
      <c r="P19" s="156">
        <v>22.2</v>
      </c>
      <c r="Q19" s="156">
        <v>23.4</v>
      </c>
      <c r="R19" s="156">
        <v>23.6</v>
      </c>
      <c r="S19" s="156">
        <v>22.8</v>
      </c>
      <c r="T19" s="157">
        <v>21.2</v>
      </c>
      <c r="U19" s="157">
        <v>18.8</v>
      </c>
      <c r="V19" s="157">
        <v>16.3</v>
      </c>
      <c r="W19" s="157">
        <v>13.9</v>
      </c>
      <c r="X19" s="157">
        <v>11.8</v>
      </c>
      <c r="Y19" s="158">
        <v>10</v>
      </c>
    </row>
    <row r="20" spans="1:25" ht="12" customHeight="1">
      <c r="A20" s="154" t="s">
        <v>73</v>
      </c>
      <c r="B20" s="188">
        <v>4.9000000000000004</v>
      </c>
      <c r="C20" s="189">
        <v>4.4000000000000004</v>
      </c>
      <c r="D20" s="189">
        <v>3.9</v>
      </c>
      <c r="E20" s="189">
        <v>3.4</v>
      </c>
      <c r="F20" s="189">
        <v>3</v>
      </c>
      <c r="G20" s="189">
        <v>2.7</v>
      </c>
      <c r="H20" s="189">
        <v>2.7</v>
      </c>
      <c r="I20" s="189">
        <v>2.8</v>
      </c>
      <c r="J20" s="189">
        <v>3.1</v>
      </c>
      <c r="K20" s="189">
        <v>3.6</v>
      </c>
      <c r="L20" s="189">
        <v>4.3</v>
      </c>
      <c r="M20" s="189">
        <v>5.0999999999999996</v>
      </c>
      <c r="N20" s="189">
        <v>5.8</v>
      </c>
      <c r="O20" s="189">
        <v>6.5</v>
      </c>
      <c r="P20" s="189">
        <v>7.1</v>
      </c>
      <c r="Q20" s="189">
        <v>7.6</v>
      </c>
      <c r="R20" s="189">
        <v>8</v>
      </c>
      <c r="S20" s="189">
        <v>8.4</v>
      </c>
      <c r="T20" s="190">
        <v>8.6999999999999993</v>
      </c>
      <c r="U20" s="190">
        <v>8.5</v>
      </c>
      <c r="V20" s="190">
        <v>7.9</v>
      </c>
      <c r="W20" s="190">
        <v>7.1</v>
      </c>
      <c r="X20" s="190">
        <v>6.3</v>
      </c>
      <c r="Y20" s="191">
        <v>5.6</v>
      </c>
    </row>
    <row r="21" spans="1:25" ht="12" customHeight="1">
      <c r="A21" s="154" t="s">
        <v>74</v>
      </c>
      <c r="B21" s="188">
        <v>4.8</v>
      </c>
      <c r="C21" s="189">
        <v>4.2</v>
      </c>
      <c r="D21" s="189">
        <v>3.8</v>
      </c>
      <c r="E21" s="189">
        <v>3.4</v>
      </c>
      <c r="F21" s="189">
        <v>3</v>
      </c>
      <c r="G21" s="189">
        <v>2.8</v>
      </c>
      <c r="H21" s="189">
        <v>3.3</v>
      </c>
      <c r="I21" s="189">
        <v>4.7</v>
      </c>
      <c r="J21" s="189">
        <v>6.4</v>
      </c>
      <c r="K21" s="189">
        <v>8</v>
      </c>
      <c r="L21" s="189">
        <v>9</v>
      </c>
      <c r="M21" s="189">
        <v>9.5</v>
      </c>
      <c r="N21" s="189">
        <v>9.6</v>
      </c>
      <c r="O21" s="189">
        <v>9.6</v>
      </c>
      <c r="P21" s="189">
        <v>9.6999999999999993</v>
      </c>
      <c r="Q21" s="189">
        <v>9.6999999999999993</v>
      </c>
      <c r="R21" s="189">
        <v>9.6</v>
      </c>
      <c r="S21" s="189">
        <v>9.3000000000000007</v>
      </c>
      <c r="T21" s="190">
        <v>9</v>
      </c>
      <c r="U21" s="190">
        <v>8.4</v>
      </c>
      <c r="V21" s="190">
        <v>7.6</v>
      </c>
      <c r="W21" s="190">
        <v>6.8</v>
      </c>
      <c r="X21" s="190">
        <v>6</v>
      </c>
      <c r="Y21" s="191">
        <v>5.4</v>
      </c>
    </row>
    <row r="22" spans="1:25" ht="12" customHeight="1">
      <c r="A22" s="154" t="s">
        <v>75</v>
      </c>
      <c r="B22" s="188">
        <v>5.0999999999999996</v>
      </c>
      <c r="C22" s="189">
        <v>4.5</v>
      </c>
      <c r="D22" s="189">
        <v>4</v>
      </c>
      <c r="E22" s="189">
        <v>3.5</v>
      </c>
      <c r="F22" s="189">
        <v>3.1</v>
      </c>
      <c r="G22" s="189">
        <v>2.9</v>
      </c>
      <c r="H22" s="189">
        <v>3.5</v>
      </c>
      <c r="I22" s="189">
        <v>5.4</v>
      </c>
      <c r="J22" s="189">
        <v>7.8</v>
      </c>
      <c r="K22" s="189">
        <v>10.3</v>
      </c>
      <c r="L22" s="189">
        <v>12.2</v>
      </c>
      <c r="M22" s="189">
        <v>13.3</v>
      </c>
      <c r="N22" s="189">
        <v>13.4</v>
      </c>
      <c r="O22" s="189">
        <v>13</v>
      </c>
      <c r="P22" s="189">
        <v>12.4</v>
      </c>
      <c r="Q22" s="189">
        <v>11.9</v>
      </c>
      <c r="R22" s="189">
        <v>11.4</v>
      </c>
      <c r="S22" s="189">
        <v>10.8</v>
      </c>
      <c r="T22" s="190">
        <v>10.199999999999999</v>
      </c>
      <c r="U22" s="190">
        <v>9.3000000000000007</v>
      </c>
      <c r="V22" s="190">
        <v>8.4</v>
      </c>
      <c r="W22" s="190">
        <v>7.4</v>
      </c>
      <c r="X22" s="190">
        <v>6.6</v>
      </c>
      <c r="Y22" s="191">
        <v>5.8</v>
      </c>
    </row>
    <row r="23" spans="1:25" ht="12" customHeight="1">
      <c r="A23" s="154" t="s">
        <v>76</v>
      </c>
      <c r="B23" s="188">
        <v>5.2</v>
      </c>
      <c r="C23" s="189">
        <v>4.5999999999999996</v>
      </c>
      <c r="D23" s="189">
        <v>4</v>
      </c>
      <c r="E23" s="189">
        <v>3.6</v>
      </c>
      <c r="F23" s="189">
        <v>3.1</v>
      </c>
      <c r="G23" s="189">
        <v>2.8</v>
      </c>
      <c r="H23" s="189">
        <v>3.1</v>
      </c>
      <c r="I23" s="189">
        <v>4.3</v>
      </c>
      <c r="J23" s="189">
        <v>6.2</v>
      </c>
      <c r="K23" s="189">
        <v>8.5</v>
      </c>
      <c r="L23" s="189">
        <v>10.6</v>
      </c>
      <c r="M23" s="189">
        <v>12.2</v>
      </c>
      <c r="N23" s="189">
        <v>13.1</v>
      </c>
      <c r="O23" s="189">
        <v>13.2</v>
      </c>
      <c r="P23" s="189">
        <v>12.9</v>
      </c>
      <c r="Q23" s="189">
        <v>12.3</v>
      </c>
      <c r="R23" s="189">
        <v>11.7</v>
      </c>
      <c r="S23" s="189">
        <v>11.1</v>
      </c>
      <c r="T23" s="190">
        <v>10.4</v>
      </c>
      <c r="U23" s="190">
        <v>9.5</v>
      </c>
      <c r="V23" s="190">
        <v>8.5</v>
      </c>
      <c r="W23" s="190">
        <v>7.6</v>
      </c>
      <c r="X23" s="190">
        <v>6.6</v>
      </c>
      <c r="Y23" s="191">
        <v>5.9</v>
      </c>
    </row>
    <row r="24" spans="1:25" ht="12" customHeight="1">
      <c r="A24" s="154" t="s">
        <v>77</v>
      </c>
      <c r="B24" s="188">
        <v>5.2</v>
      </c>
      <c r="C24" s="189">
        <v>4.5999999999999996</v>
      </c>
      <c r="D24" s="189">
        <v>4</v>
      </c>
      <c r="E24" s="189">
        <v>3.6</v>
      </c>
      <c r="F24" s="189">
        <v>3.1</v>
      </c>
      <c r="G24" s="189">
        <v>2.8</v>
      </c>
      <c r="H24" s="189">
        <v>2.5</v>
      </c>
      <c r="I24" s="189">
        <v>2.5</v>
      </c>
      <c r="J24" s="189">
        <v>2.9</v>
      </c>
      <c r="K24" s="189">
        <v>3.9</v>
      </c>
      <c r="L24" s="189">
        <v>5.4</v>
      </c>
      <c r="M24" s="189">
        <v>7.1</v>
      </c>
      <c r="N24" s="189">
        <v>8.8000000000000007</v>
      </c>
      <c r="O24" s="189">
        <v>10.199999999999999</v>
      </c>
      <c r="P24" s="189">
        <v>11.2</v>
      </c>
      <c r="Q24" s="189">
        <v>11.6</v>
      </c>
      <c r="R24" s="189">
        <v>11.5</v>
      </c>
      <c r="S24" s="189">
        <v>11</v>
      </c>
      <c r="T24" s="190">
        <v>10.3</v>
      </c>
      <c r="U24" s="190">
        <v>9.5</v>
      </c>
      <c r="V24" s="190">
        <v>8.5</v>
      </c>
      <c r="W24" s="190">
        <v>7.5</v>
      </c>
      <c r="X24" s="190">
        <v>6.6</v>
      </c>
      <c r="Y24" s="191">
        <v>5.8</v>
      </c>
    </row>
    <row r="25" spans="1:25" ht="12" customHeight="1">
      <c r="A25" s="154" t="s">
        <v>78</v>
      </c>
      <c r="B25" s="188">
        <v>6.8</v>
      </c>
      <c r="C25" s="189">
        <v>5.9</v>
      </c>
      <c r="D25" s="189">
        <v>5.0999999999999996</v>
      </c>
      <c r="E25" s="189">
        <v>4.4000000000000004</v>
      </c>
      <c r="F25" s="189">
        <v>3.8</v>
      </c>
      <c r="G25" s="189">
        <v>3.3</v>
      </c>
      <c r="H25" s="189">
        <v>3</v>
      </c>
      <c r="I25" s="189">
        <v>2.9</v>
      </c>
      <c r="J25" s="189">
        <v>3.1</v>
      </c>
      <c r="K25" s="189">
        <v>3.6</v>
      </c>
      <c r="L25" s="189">
        <v>4.3</v>
      </c>
      <c r="M25" s="189">
        <v>5.2</v>
      </c>
      <c r="N25" s="189">
        <v>6.5</v>
      </c>
      <c r="O25" s="189">
        <v>8.1999999999999993</v>
      </c>
      <c r="P25" s="189">
        <v>10.199999999999999</v>
      </c>
      <c r="Q25" s="189">
        <v>12.1</v>
      </c>
      <c r="R25" s="189">
        <v>13.7</v>
      </c>
      <c r="S25" s="189">
        <v>14.5</v>
      </c>
      <c r="T25" s="190">
        <v>14.6</v>
      </c>
      <c r="U25" s="190">
        <v>13.6</v>
      </c>
      <c r="V25" s="190">
        <v>12.1</v>
      </c>
      <c r="W25" s="190">
        <v>10.5</v>
      </c>
      <c r="X25" s="190">
        <v>9.1</v>
      </c>
      <c r="Y25" s="191">
        <v>7.8</v>
      </c>
    </row>
    <row r="26" spans="1:25" ht="12" customHeight="1">
      <c r="A26" s="154" t="s">
        <v>79</v>
      </c>
      <c r="B26" s="188">
        <v>7.7</v>
      </c>
      <c r="C26" s="189">
        <v>6.6</v>
      </c>
      <c r="D26" s="189">
        <v>5.7</v>
      </c>
      <c r="E26" s="189">
        <v>4.9000000000000004</v>
      </c>
      <c r="F26" s="189">
        <v>4.2</v>
      </c>
      <c r="G26" s="189">
        <v>3.7</v>
      </c>
      <c r="H26" s="189">
        <v>3.2</v>
      </c>
      <c r="I26" s="189">
        <v>3.1</v>
      </c>
      <c r="J26" s="189">
        <v>3.3</v>
      </c>
      <c r="K26" s="189">
        <v>3.7</v>
      </c>
      <c r="L26" s="189">
        <v>4.4000000000000004</v>
      </c>
      <c r="M26" s="189">
        <v>5.0999999999999996</v>
      </c>
      <c r="N26" s="189">
        <v>6</v>
      </c>
      <c r="O26" s="189">
        <v>7.3</v>
      </c>
      <c r="P26" s="189">
        <v>9.1</v>
      </c>
      <c r="Q26" s="189">
        <v>11.4</v>
      </c>
      <c r="R26" s="189">
        <v>13.7</v>
      </c>
      <c r="S26" s="189">
        <v>15.6</v>
      </c>
      <c r="T26" s="190">
        <v>16.399999999999999</v>
      </c>
      <c r="U26" s="190">
        <v>15.8</v>
      </c>
      <c r="V26" s="190">
        <v>14.2</v>
      </c>
      <c r="W26" s="190">
        <v>12.3</v>
      </c>
      <c r="X26" s="190">
        <v>10.5</v>
      </c>
      <c r="Y26" s="191">
        <v>9</v>
      </c>
    </row>
    <row r="27" spans="1:25" ht="12" customHeight="1">
      <c r="A27" s="159" t="s">
        <v>80</v>
      </c>
      <c r="B27" s="192">
        <v>6.8</v>
      </c>
      <c r="C27" s="193">
        <v>5.9</v>
      </c>
      <c r="D27" s="193">
        <v>5.0999999999999996</v>
      </c>
      <c r="E27" s="193">
        <v>4.5</v>
      </c>
      <c r="F27" s="193">
        <v>3.9</v>
      </c>
      <c r="G27" s="193">
        <v>3.4</v>
      </c>
      <c r="H27" s="193">
        <v>3</v>
      </c>
      <c r="I27" s="193">
        <v>2.9</v>
      </c>
      <c r="J27" s="193">
        <v>3.1</v>
      </c>
      <c r="K27" s="193">
        <v>3.6</v>
      </c>
      <c r="L27" s="193">
        <v>4.3</v>
      </c>
      <c r="M27" s="193">
        <v>5</v>
      </c>
      <c r="N27" s="193">
        <v>5.8</v>
      </c>
      <c r="O27" s="193">
        <v>6.6</v>
      </c>
      <c r="P27" s="193">
        <v>7.6</v>
      </c>
      <c r="Q27" s="193">
        <v>9.1</v>
      </c>
      <c r="R27" s="193">
        <v>10.9</v>
      </c>
      <c r="S27" s="193">
        <v>12.6</v>
      </c>
      <c r="T27" s="194">
        <v>13.7</v>
      </c>
      <c r="U27" s="194">
        <v>13.4</v>
      </c>
      <c r="V27" s="194">
        <v>12.2</v>
      </c>
      <c r="W27" s="194">
        <v>10.7</v>
      </c>
      <c r="X27" s="194">
        <v>9.1999999999999993</v>
      </c>
      <c r="Y27" s="195">
        <v>7.9</v>
      </c>
    </row>
    <row r="28" spans="1:25" ht="12" customHeight="1" thickBot="1"/>
    <row r="29" spans="1:25" ht="12" customHeight="1">
      <c r="A29" s="145" t="s">
        <v>70</v>
      </c>
      <c r="B29" s="145"/>
      <c r="C29" s="145"/>
      <c r="D29" s="39" t="s">
        <v>36</v>
      </c>
      <c r="E29" s="145"/>
      <c r="F29" s="145"/>
      <c r="G29" s="145"/>
      <c r="H29" s="145"/>
      <c r="I29" s="145"/>
      <c r="J29" s="145"/>
      <c r="K29" s="145"/>
      <c r="L29" s="145"/>
      <c r="M29" s="145"/>
      <c r="N29" s="145"/>
      <c r="O29" s="145"/>
      <c r="P29" s="145"/>
      <c r="Q29" s="145"/>
      <c r="R29" s="145"/>
      <c r="S29" s="146"/>
      <c r="T29" s="145"/>
      <c r="U29" s="145"/>
      <c r="V29" s="145"/>
      <c r="W29" s="145"/>
      <c r="X29" s="145"/>
      <c r="Y29" s="145"/>
    </row>
    <row r="30" spans="1:25" ht="16.5" customHeight="1">
      <c r="A30" s="147"/>
      <c r="B30" s="148">
        <v>1</v>
      </c>
      <c r="C30" s="149">
        <v>2</v>
      </c>
      <c r="D30" s="150">
        <v>3</v>
      </c>
      <c r="E30" s="149">
        <v>4</v>
      </c>
      <c r="F30" s="149">
        <v>5</v>
      </c>
      <c r="G30" s="149">
        <v>6</v>
      </c>
      <c r="H30" s="149">
        <v>7</v>
      </c>
      <c r="I30" s="149">
        <v>8</v>
      </c>
      <c r="J30" s="149">
        <v>9</v>
      </c>
      <c r="K30" s="149">
        <v>10</v>
      </c>
      <c r="L30" s="149">
        <v>11</v>
      </c>
      <c r="M30" s="149">
        <v>12</v>
      </c>
      <c r="N30" s="149">
        <v>13</v>
      </c>
      <c r="O30" s="149">
        <v>14</v>
      </c>
      <c r="P30" s="149">
        <v>15</v>
      </c>
      <c r="Q30" s="149">
        <v>16</v>
      </c>
      <c r="R30" s="149">
        <v>17</v>
      </c>
      <c r="S30" s="149">
        <v>18</v>
      </c>
      <c r="T30" s="151">
        <v>19</v>
      </c>
      <c r="U30" s="151">
        <v>20</v>
      </c>
      <c r="V30" s="151">
        <v>21</v>
      </c>
      <c r="W30" s="151">
        <v>22</v>
      </c>
      <c r="X30" s="151">
        <v>23</v>
      </c>
      <c r="Y30" s="152">
        <v>24</v>
      </c>
    </row>
    <row r="31" spans="1:25" ht="12" customHeight="1">
      <c r="A31" s="153" t="s">
        <v>87</v>
      </c>
      <c r="B31" s="184">
        <v>2.4</v>
      </c>
      <c r="C31" s="185">
        <v>2</v>
      </c>
      <c r="D31" s="185">
        <v>1.6</v>
      </c>
      <c r="E31" s="185">
        <v>1.2</v>
      </c>
      <c r="F31" s="185">
        <v>0.9</v>
      </c>
      <c r="G31" s="185">
        <v>0.5</v>
      </c>
      <c r="H31" s="185">
        <v>0.3</v>
      </c>
      <c r="I31" s="185">
        <v>0.2</v>
      </c>
      <c r="J31" s="185">
        <v>0.4</v>
      </c>
      <c r="K31" s="185">
        <v>0.9</v>
      </c>
      <c r="L31" s="185">
        <v>1.6</v>
      </c>
      <c r="M31" s="185">
        <v>2.4</v>
      </c>
      <c r="N31" s="185">
        <v>3.3</v>
      </c>
      <c r="O31" s="185">
        <v>4.0999999999999996</v>
      </c>
      <c r="P31" s="185">
        <v>4.8</v>
      </c>
      <c r="Q31" s="185">
        <v>5.3</v>
      </c>
      <c r="R31" s="185">
        <v>5.6</v>
      </c>
      <c r="S31" s="185">
        <v>5.7</v>
      </c>
      <c r="T31" s="186">
        <v>5.4</v>
      </c>
      <c r="U31" s="186">
        <v>5</v>
      </c>
      <c r="V31" s="186">
        <v>4.5</v>
      </c>
      <c r="W31" s="186">
        <v>3.9</v>
      </c>
      <c r="X31" s="186">
        <v>3.4</v>
      </c>
      <c r="Y31" s="187">
        <v>2.9</v>
      </c>
    </row>
    <row r="32" spans="1:25" ht="12" customHeight="1">
      <c r="A32" s="154" t="s">
        <v>72</v>
      </c>
      <c r="B32" s="155">
        <v>5.5</v>
      </c>
      <c r="C32" s="156">
        <v>4.5</v>
      </c>
      <c r="D32" s="156">
        <v>3.6</v>
      </c>
      <c r="E32" s="156">
        <v>2.8</v>
      </c>
      <c r="F32" s="156">
        <v>2.2000000000000002</v>
      </c>
      <c r="G32" s="156">
        <v>1.6</v>
      </c>
      <c r="H32" s="156">
        <v>1.2</v>
      </c>
      <c r="I32" s="156">
        <v>1.4</v>
      </c>
      <c r="J32" s="156">
        <v>2.5</v>
      </c>
      <c r="K32" s="156">
        <v>4.4000000000000004</v>
      </c>
      <c r="L32" s="156">
        <v>7.1</v>
      </c>
      <c r="M32" s="156">
        <v>10.1</v>
      </c>
      <c r="N32" s="156">
        <v>13.1</v>
      </c>
      <c r="O32" s="156">
        <v>15.7</v>
      </c>
      <c r="P32" s="156">
        <v>17.600000000000001</v>
      </c>
      <c r="Q32" s="156">
        <v>18.600000000000001</v>
      </c>
      <c r="R32" s="156">
        <v>18.600000000000001</v>
      </c>
      <c r="S32" s="156">
        <v>17.5</v>
      </c>
      <c r="T32" s="157">
        <v>15.7</v>
      </c>
      <c r="U32" s="157">
        <v>13.5</v>
      </c>
      <c r="V32" s="157">
        <v>11.4</v>
      </c>
      <c r="W32" s="157">
        <v>9.6</v>
      </c>
      <c r="X32" s="157">
        <v>8</v>
      </c>
      <c r="Y32" s="158">
        <v>6.6</v>
      </c>
    </row>
    <row r="33" spans="1:25" ht="12" customHeight="1">
      <c r="A33" s="154" t="s">
        <v>73</v>
      </c>
      <c r="B33" s="188">
        <v>2.5</v>
      </c>
      <c r="C33" s="189">
        <v>2</v>
      </c>
      <c r="D33" s="189">
        <v>1.6</v>
      </c>
      <c r="E33" s="189">
        <v>1.2</v>
      </c>
      <c r="F33" s="189">
        <v>0.9</v>
      </c>
      <c r="G33" s="189">
        <v>0.5</v>
      </c>
      <c r="H33" s="189">
        <v>0.3</v>
      </c>
      <c r="I33" s="189">
        <v>0.2</v>
      </c>
      <c r="J33" s="189">
        <v>0.4</v>
      </c>
      <c r="K33" s="189">
        <v>0.9</v>
      </c>
      <c r="L33" s="189">
        <v>1.6</v>
      </c>
      <c r="M33" s="189">
        <v>2.4</v>
      </c>
      <c r="N33" s="189">
        <v>3.3</v>
      </c>
      <c r="O33" s="189">
        <v>4.0999999999999996</v>
      </c>
      <c r="P33" s="189">
        <v>4.8</v>
      </c>
      <c r="Q33" s="189">
        <v>5.3</v>
      </c>
      <c r="R33" s="189">
        <v>5.6</v>
      </c>
      <c r="S33" s="189">
        <v>5.7</v>
      </c>
      <c r="T33" s="190">
        <v>5.5</v>
      </c>
      <c r="U33" s="190">
        <v>5.0999999999999996</v>
      </c>
      <c r="V33" s="190">
        <v>4.5</v>
      </c>
      <c r="W33" s="190">
        <v>3.9</v>
      </c>
      <c r="X33" s="190">
        <v>3.4</v>
      </c>
      <c r="Y33" s="191">
        <v>2.9</v>
      </c>
    </row>
    <row r="34" spans="1:25" ht="12" customHeight="1">
      <c r="A34" s="154" t="s">
        <v>74</v>
      </c>
      <c r="B34" s="188">
        <v>2.6</v>
      </c>
      <c r="C34" s="189">
        <v>2.1</v>
      </c>
      <c r="D34" s="189">
        <v>1.7</v>
      </c>
      <c r="E34" s="189">
        <v>1.3</v>
      </c>
      <c r="F34" s="189">
        <v>0.9</v>
      </c>
      <c r="G34" s="189">
        <v>0.6</v>
      </c>
      <c r="H34" s="189">
        <v>0.7</v>
      </c>
      <c r="I34" s="189">
        <v>1.5</v>
      </c>
      <c r="J34" s="189">
        <v>2.7</v>
      </c>
      <c r="K34" s="189">
        <v>3.8</v>
      </c>
      <c r="L34" s="189">
        <v>4.4000000000000004</v>
      </c>
      <c r="M34" s="189">
        <v>4.9000000000000004</v>
      </c>
      <c r="N34" s="189">
        <v>5.3</v>
      </c>
      <c r="O34" s="189">
        <v>5.7</v>
      </c>
      <c r="P34" s="189">
        <v>6.1</v>
      </c>
      <c r="Q34" s="189">
        <v>6.4</v>
      </c>
      <c r="R34" s="189">
        <v>6.5</v>
      </c>
      <c r="S34" s="189">
        <v>6.4</v>
      </c>
      <c r="T34" s="190">
        <v>6</v>
      </c>
      <c r="U34" s="190">
        <v>5.5</v>
      </c>
      <c r="V34" s="190">
        <v>4.8</v>
      </c>
      <c r="W34" s="190">
        <v>4.2</v>
      </c>
      <c r="X34" s="190">
        <v>3.6</v>
      </c>
      <c r="Y34" s="191">
        <v>3.1</v>
      </c>
    </row>
    <row r="35" spans="1:25" ht="12" customHeight="1">
      <c r="A35" s="154" t="s">
        <v>75</v>
      </c>
      <c r="B35" s="188">
        <v>3</v>
      </c>
      <c r="C35" s="189">
        <v>2.5</v>
      </c>
      <c r="D35" s="189">
        <v>2</v>
      </c>
      <c r="E35" s="189">
        <v>1.5</v>
      </c>
      <c r="F35" s="189">
        <v>1.1000000000000001</v>
      </c>
      <c r="G35" s="189">
        <v>0.7</v>
      </c>
      <c r="H35" s="189">
        <v>1</v>
      </c>
      <c r="I35" s="189">
        <v>2.5</v>
      </c>
      <c r="J35" s="189">
        <v>4.8</v>
      </c>
      <c r="K35" s="189">
        <v>7.2</v>
      </c>
      <c r="L35" s="189">
        <v>9</v>
      </c>
      <c r="M35" s="189">
        <v>10</v>
      </c>
      <c r="N35" s="189">
        <v>10.199999999999999</v>
      </c>
      <c r="O35" s="189">
        <v>9.9</v>
      </c>
      <c r="P35" s="189">
        <v>9.6</v>
      </c>
      <c r="Q35" s="189">
        <v>9.1999999999999993</v>
      </c>
      <c r="R35" s="189">
        <v>8.8000000000000007</v>
      </c>
      <c r="S35" s="189">
        <v>8.1999999999999993</v>
      </c>
      <c r="T35" s="190">
        <v>7.5</v>
      </c>
      <c r="U35" s="190">
        <v>6.7</v>
      </c>
      <c r="V35" s="190">
        <v>5.8</v>
      </c>
      <c r="W35" s="190">
        <v>5</v>
      </c>
      <c r="X35" s="190">
        <v>4.3</v>
      </c>
      <c r="Y35" s="191">
        <v>3.6</v>
      </c>
    </row>
    <row r="36" spans="1:25" ht="12" customHeight="1">
      <c r="A36" s="154" t="s">
        <v>76</v>
      </c>
      <c r="B36" s="188">
        <v>3.4</v>
      </c>
      <c r="C36" s="189">
        <v>2.8</v>
      </c>
      <c r="D36" s="189">
        <v>2.2000000000000002</v>
      </c>
      <c r="E36" s="189">
        <v>1.7</v>
      </c>
      <c r="F36" s="189">
        <v>1.3</v>
      </c>
      <c r="G36" s="189">
        <v>0.9</v>
      </c>
      <c r="H36" s="189">
        <v>1</v>
      </c>
      <c r="I36" s="189">
        <v>2.2000000000000002</v>
      </c>
      <c r="J36" s="189">
        <v>4.4000000000000004</v>
      </c>
      <c r="K36" s="189">
        <v>7</v>
      </c>
      <c r="L36" s="189">
        <v>9.5</v>
      </c>
      <c r="M36" s="189">
        <v>11.5</v>
      </c>
      <c r="N36" s="189">
        <v>12.7</v>
      </c>
      <c r="O36" s="189">
        <v>12.9</v>
      </c>
      <c r="P36" s="189">
        <v>12.5</v>
      </c>
      <c r="Q36" s="189">
        <v>11.7</v>
      </c>
      <c r="R36" s="189">
        <v>10.8</v>
      </c>
      <c r="S36" s="189">
        <v>9.9</v>
      </c>
      <c r="T36" s="190">
        <v>8.9</v>
      </c>
      <c r="U36" s="190">
        <v>7.8</v>
      </c>
      <c r="V36" s="190">
        <v>6.7</v>
      </c>
      <c r="W36" s="190">
        <v>5.7</v>
      </c>
      <c r="X36" s="190">
        <v>4.8</v>
      </c>
      <c r="Y36" s="191">
        <v>4.0999999999999996</v>
      </c>
    </row>
    <row r="37" spans="1:25" ht="12" customHeight="1">
      <c r="A37" s="154" t="s">
        <v>77</v>
      </c>
      <c r="B37" s="188">
        <v>4</v>
      </c>
      <c r="C37" s="189">
        <v>3.3</v>
      </c>
      <c r="D37" s="189">
        <v>2.6</v>
      </c>
      <c r="E37" s="189">
        <v>2.1</v>
      </c>
      <c r="F37" s="189">
        <v>1.5</v>
      </c>
      <c r="G37" s="189">
        <v>1.1000000000000001</v>
      </c>
      <c r="H37" s="189">
        <v>0.8</v>
      </c>
      <c r="I37" s="189">
        <v>0.9</v>
      </c>
      <c r="J37" s="189">
        <v>1.8</v>
      </c>
      <c r="K37" s="189">
        <v>3.4</v>
      </c>
      <c r="L37" s="189">
        <v>5.4</v>
      </c>
      <c r="M37" s="189">
        <v>7.7</v>
      </c>
      <c r="N37" s="189">
        <v>10</v>
      </c>
      <c r="O37" s="189">
        <v>11.8</v>
      </c>
      <c r="P37" s="189">
        <v>13.1</v>
      </c>
      <c r="Q37" s="189">
        <v>13.6</v>
      </c>
      <c r="R37" s="189">
        <v>13.3</v>
      </c>
      <c r="S37" s="189">
        <v>12.4</v>
      </c>
      <c r="T37" s="190">
        <v>11.1</v>
      </c>
      <c r="U37" s="190">
        <v>9.6</v>
      </c>
      <c r="V37" s="190">
        <v>8.1999999999999993</v>
      </c>
      <c r="W37" s="190">
        <v>6.9</v>
      </c>
      <c r="X37" s="190">
        <v>5.8</v>
      </c>
      <c r="Y37" s="191">
        <v>4.9000000000000004</v>
      </c>
    </row>
    <row r="38" spans="1:25" ht="12" customHeight="1">
      <c r="A38" s="154" t="s">
        <v>78</v>
      </c>
      <c r="B38" s="188">
        <v>5.0999999999999996</v>
      </c>
      <c r="C38" s="189">
        <v>4.2</v>
      </c>
      <c r="D38" s="189">
        <v>3.4</v>
      </c>
      <c r="E38" s="189">
        <v>2.6</v>
      </c>
      <c r="F38" s="189">
        <v>2</v>
      </c>
      <c r="G38" s="189">
        <v>1.4</v>
      </c>
      <c r="H38" s="189">
        <v>1</v>
      </c>
      <c r="I38" s="189">
        <v>0.8</v>
      </c>
      <c r="J38" s="189">
        <v>0.9</v>
      </c>
      <c r="K38" s="189">
        <v>1.3</v>
      </c>
      <c r="L38" s="189">
        <v>2.1</v>
      </c>
      <c r="M38" s="189">
        <v>3.4</v>
      </c>
      <c r="N38" s="189">
        <v>5.4</v>
      </c>
      <c r="O38" s="189">
        <v>7.9</v>
      </c>
      <c r="P38" s="189">
        <v>10.4</v>
      </c>
      <c r="Q38" s="189">
        <v>12.7</v>
      </c>
      <c r="R38" s="189">
        <v>14.3</v>
      </c>
      <c r="S38" s="189">
        <v>14.9</v>
      </c>
      <c r="T38" s="190">
        <v>14.1</v>
      </c>
      <c r="U38" s="190">
        <v>12.5</v>
      </c>
      <c r="V38" s="190">
        <v>10.6</v>
      </c>
      <c r="W38" s="190">
        <v>8.9</v>
      </c>
      <c r="X38" s="190">
        <v>7.4</v>
      </c>
      <c r="Y38" s="191">
        <v>6.2</v>
      </c>
    </row>
    <row r="39" spans="1:25" ht="12" customHeight="1">
      <c r="A39" s="154" t="s">
        <v>79</v>
      </c>
      <c r="B39" s="188">
        <v>5</v>
      </c>
      <c r="C39" s="189">
        <v>4.0999999999999996</v>
      </c>
      <c r="D39" s="189">
        <v>3.3</v>
      </c>
      <c r="E39" s="189">
        <v>2.6</v>
      </c>
      <c r="F39" s="189">
        <v>2</v>
      </c>
      <c r="G39" s="189">
        <v>1.4</v>
      </c>
      <c r="H39" s="189">
        <v>1</v>
      </c>
      <c r="I39" s="189">
        <v>0.8</v>
      </c>
      <c r="J39" s="189">
        <v>0.9</v>
      </c>
      <c r="K39" s="189">
        <v>1.3</v>
      </c>
      <c r="L39" s="189">
        <v>1.9</v>
      </c>
      <c r="M39" s="189">
        <v>2.7</v>
      </c>
      <c r="N39" s="189">
        <v>3.7</v>
      </c>
      <c r="O39" s="189">
        <v>5.2</v>
      </c>
      <c r="P39" s="189">
        <v>7.4</v>
      </c>
      <c r="Q39" s="189">
        <v>9.9</v>
      </c>
      <c r="R39" s="189">
        <v>12.1</v>
      </c>
      <c r="S39" s="189">
        <v>13.5</v>
      </c>
      <c r="T39" s="190">
        <v>13.4</v>
      </c>
      <c r="U39" s="190">
        <v>12.1</v>
      </c>
      <c r="V39" s="190">
        <v>10.3</v>
      </c>
      <c r="W39" s="190">
        <v>8.6999999999999993</v>
      </c>
      <c r="X39" s="190">
        <v>7.2</v>
      </c>
      <c r="Y39" s="191">
        <v>6</v>
      </c>
    </row>
    <row r="40" spans="1:25" ht="12" customHeight="1">
      <c r="A40" s="159" t="s">
        <v>80</v>
      </c>
      <c r="B40" s="192">
        <v>3.7</v>
      </c>
      <c r="C40" s="193">
        <v>3</v>
      </c>
      <c r="D40" s="193">
        <v>2.4</v>
      </c>
      <c r="E40" s="193">
        <v>1.9</v>
      </c>
      <c r="F40" s="193">
        <v>1.4</v>
      </c>
      <c r="G40" s="193">
        <v>1</v>
      </c>
      <c r="H40" s="193">
        <v>0.6</v>
      </c>
      <c r="I40" s="193">
        <v>0.5</v>
      </c>
      <c r="J40" s="193">
        <v>0.6</v>
      </c>
      <c r="K40" s="193">
        <v>1.1000000000000001</v>
      </c>
      <c r="L40" s="193">
        <v>1.8</v>
      </c>
      <c r="M40" s="193">
        <v>2.6</v>
      </c>
      <c r="N40" s="193">
        <v>3.4</v>
      </c>
      <c r="O40" s="193">
        <v>4.2</v>
      </c>
      <c r="P40" s="193">
        <v>5.0999999999999996</v>
      </c>
      <c r="Q40" s="193">
        <v>6.3</v>
      </c>
      <c r="R40" s="193">
        <v>7.7</v>
      </c>
      <c r="S40" s="193">
        <v>8.9</v>
      </c>
      <c r="T40" s="194">
        <v>9.1</v>
      </c>
      <c r="U40" s="194">
        <v>8.4</v>
      </c>
      <c r="V40" s="194">
        <v>7.3</v>
      </c>
      <c r="W40" s="194">
        <v>6.2</v>
      </c>
      <c r="X40" s="194">
        <v>5.2</v>
      </c>
      <c r="Y40" s="195">
        <v>4.4000000000000004</v>
      </c>
    </row>
    <row r="42" spans="1:25" ht="12" customHeight="1">
      <c r="A42" s="145" t="s">
        <v>81</v>
      </c>
      <c r="B42" s="145"/>
      <c r="C42" s="145"/>
      <c r="D42" s="145"/>
      <c r="E42" s="145"/>
      <c r="G42" s="145"/>
      <c r="H42" s="145"/>
      <c r="I42" s="145"/>
      <c r="J42" s="145"/>
      <c r="K42" s="145"/>
    </row>
    <row r="43" spans="1:25" ht="15" customHeight="1">
      <c r="A43" s="160" t="s">
        <v>82</v>
      </c>
      <c r="B43" s="161" t="s">
        <v>83</v>
      </c>
      <c r="C43" s="162" t="s">
        <v>84</v>
      </c>
      <c r="D43" s="161" t="s">
        <v>83</v>
      </c>
      <c r="E43" s="162" t="s">
        <v>84</v>
      </c>
      <c r="F43" s="161" t="s">
        <v>83</v>
      </c>
      <c r="G43" s="162" t="s">
        <v>84</v>
      </c>
      <c r="H43" s="161" t="s">
        <v>83</v>
      </c>
      <c r="I43" s="162" t="s">
        <v>84</v>
      </c>
      <c r="J43" s="161" t="s">
        <v>83</v>
      </c>
      <c r="K43" s="162" t="s">
        <v>84</v>
      </c>
      <c r="L43" s="161" t="s">
        <v>83</v>
      </c>
      <c r="M43" s="163" t="s">
        <v>83</v>
      </c>
      <c r="N43" s="161" t="s">
        <v>83</v>
      </c>
      <c r="P43" s="73" t="s">
        <v>53</v>
      </c>
    </row>
    <row r="44" spans="1:25" ht="12" customHeight="1">
      <c r="A44" s="164">
        <v>0</v>
      </c>
      <c r="B44" s="165">
        <v>2E-3</v>
      </c>
      <c r="C44" s="166">
        <f t="shared" ref="C44:C67" si="0">A44+24</f>
        <v>24</v>
      </c>
      <c r="D44" s="165">
        <v>2E-3</v>
      </c>
      <c r="E44" s="166">
        <f t="shared" ref="E44:E67" si="1">C44+24</f>
        <v>48</v>
      </c>
      <c r="F44" s="165">
        <v>0</v>
      </c>
      <c r="G44" s="166">
        <f t="shared" ref="G44:G67" si="2">E44+24</f>
        <v>72</v>
      </c>
      <c r="H44" s="167">
        <v>0</v>
      </c>
      <c r="I44" s="166">
        <f t="shared" ref="I44:I67" si="3">G44+24</f>
        <v>96</v>
      </c>
      <c r="J44" s="167">
        <v>0</v>
      </c>
      <c r="K44" s="166">
        <f t="shared" ref="K44:K67" si="4">I44+24</f>
        <v>120</v>
      </c>
      <c r="L44" s="167">
        <v>0</v>
      </c>
      <c r="M44" s="168">
        <f t="shared" ref="M44:M67" si="5">K44+24</f>
        <v>144</v>
      </c>
      <c r="N44" s="169">
        <v>0</v>
      </c>
      <c r="P44" s="170" t="s">
        <v>88</v>
      </c>
    </row>
    <row r="45" spans="1:25" ht="12" customHeight="1">
      <c r="A45" s="171">
        <v>1</v>
      </c>
      <c r="B45" s="172">
        <v>5.2999999999999999E-2</v>
      </c>
      <c r="C45" s="173">
        <f t="shared" si="0"/>
        <v>25</v>
      </c>
      <c r="D45" s="172">
        <v>2E-3</v>
      </c>
      <c r="E45" s="173">
        <f t="shared" si="1"/>
        <v>49</v>
      </c>
      <c r="F45" s="172">
        <v>0</v>
      </c>
      <c r="G45" s="173">
        <f t="shared" si="2"/>
        <v>73</v>
      </c>
      <c r="H45" s="174">
        <v>0</v>
      </c>
      <c r="I45" s="173">
        <f t="shared" si="3"/>
        <v>97</v>
      </c>
      <c r="J45" s="174">
        <v>0</v>
      </c>
      <c r="K45" s="173">
        <f t="shared" si="4"/>
        <v>121</v>
      </c>
      <c r="L45" s="174">
        <v>0</v>
      </c>
      <c r="M45" s="175">
        <f t="shared" si="5"/>
        <v>145</v>
      </c>
      <c r="N45" s="176">
        <v>0</v>
      </c>
      <c r="P45" s="177" t="s">
        <v>89</v>
      </c>
    </row>
    <row r="46" spans="1:25" ht="12" customHeight="1">
      <c r="A46" s="171">
        <v>2</v>
      </c>
      <c r="B46" s="172">
        <v>0.127</v>
      </c>
      <c r="C46" s="173">
        <f t="shared" si="0"/>
        <v>26</v>
      </c>
      <c r="D46" s="172">
        <v>1E-3</v>
      </c>
      <c r="E46" s="173">
        <f t="shared" si="1"/>
        <v>50</v>
      </c>
      <c r="F46" s="172">
        <v>0</v>
      </c>
      <c r="G46" s="173">
        <f t="shared" si="2"/>
        <v>74</v>
      </c>
      <c r="H46" s="174">
        <v>0</v>
      </c>
      <c r="I46" s="173">
        <f t="shared" si="3"/>
        <v>98</v>
      </c>
      <c r="J46" s="174">
        <v>0</v>
      </c>
      <c r="K46" s="173">
        <f t="shared" si="4"/>
        <v>122</v>
      </c>
      <c r="L46" s="174">
        <v>0</v>
      </c>
      <c r="M46" s="175">
        <f t="shared" si="5"/>
        <v>146</v>
      </c>
      <c r="N46" s="176">
        <v>0</v>
      </c>
      <c r="P46" s="170" t="s">
        <v>90</v>
      </c>
    </row>
    <row r="47" spans="1:25" ht="12" customHeight="1">
      <c r="A47" s="171">
        <v>3</v>
      </c>
      <c r="B47" s="172">
        <v>0.14000000000000001</v>
      </c>
      <c r="C47" s="173">
        <f t="shared" si="0"/>
        <v>27</v>
      </c>
      <c r="D47" s="172">
        <v>1E-3</v>
      </c>
      <c r="E47" s="173">
        <f t="shared" si="1"/>
        <v>51</v>
      </c>
      <c r="F47" s="172">
        <v>0</v>
      </c>
      <c r="G47" s="173">
        <f t="shared" si="2"/>
        <v>75</v>
      </c>
      <c r="H47" s="174">
        <v>0</v>
      </c>
      <c r="I47" s="173">
        <f t="shared" si="3"/>
        <v>99</v>
      </c>
      <c r="J47" s="174">
        <v>0</v>
      </c>
      <c r="K47" s="173">
        <f t="shared" si="4"/>
        <v>123</v>
      </c>
      <c r="L47" s="174">
        <v>0</v>
      </c>
      <c r="M47" s="175">
        <f t="shared" si="5"/>
        <v>147</v>
      </c>
      <c r="N47" s="176">
        <v>0</v>
      </c>
      <c r="P47" s="170" t="s">
        <v>91</v>
      </c>
    </row>
    <row r="48" spans="1:25" ht="12" customHeight="1">
      <c r="A48" s="171">
        <v>4</v>
      </c>
      <c r="B48" s="172">
        <v>0.125</v>
      </c>
      <c r="C48" s="173">
        <f t="shared" si="0"/>
        <v>28</v>
      </c>
      <c r="D48" s="172">
        <v>1E-3</v>
      </c>
      <c r="E48" s="173">
        <f t="shared" si="1"/>
        <v>52</v>
      </c>
      <c r="F48" s="172">
        <v>0</v>
      </c>
      <c r="G48" s="173">
        <f t="shared" si="2"/>
        <v>76</v>
      </c>
      <c r="H48" s="174">
        <v>0</v>
      </c>
      <c r="I48" s="173">
        <f t="shared" si="3"/>
        <v>100</v>
      </c>
      <c r="J48" s="174">
        <v>0</v>
      </c>
      <c r="K48" s="173">
        <f t="shared" si="4"/>
        <v>124</v>
      </c>
      <c r="L48" s="174">
        <v>0</v>
      </c>
      <c r="M48" s="175">
        <f t="shared" si="5"/>
        <v>148</v>
      </c>
      <c r="N48" s="176">
        <v>0</v>
      </c>
      <c r="P48" s="170" t="s">
        <v>92</v>
      </c>
    </row>
    <row r="49" spans="1:16" ht="12" customHeight="1">
      <c r="A49" s="171">
        <v>5</v>
      </c>
      <c r="B49" s="172">
        <v>0.104</v>
      </c>
      <c r="C49" s="173">
        <f t="shared" si="0"/>
        <v>29</v>
      </c>
      <c r="D49" s="172">
        <v>1E-3</v>
      </c>
      <c r="E49" s="173">
        <f t="shared" si="1"/>
        <v>53</v>
      </c>
      <c r="F49" s="172">
        <v>0</v>
      </c>
      <c r="G49" s="173">
        <f t="shared" si="2"/>
        <v>77</v>
      </c>
      <c r="H49" s="174">
        <v>0</v>
      </c>
      <c r="I49" s="173">
        <f t="shared" si="3"/>
        <v>101</v>
      </c>
      <c r="J49" s="174">
        <v>0</v>
      </c>
      <c r="K49" s="173">
        <f t="shared" si="4"/>
        <v>125</v>
      </c>
      <c r="L49" s="174">
        <v>0</v>
      </c>
      <c r="M49" s="175">
        <f t="shared" si="5"/>
        <v>149</v>
      </c>
      <c r="N49" s="176">
        <v>0</v>
      </c>
      <c r="P49" s="170" t="s">
        <v>93</v>
      </c>
    </row>
    <row r="50" spans="1:16" ht="12" customHeight="1">
      <c r="A50" s="171">
        <v>6</v>
      </c>
      <c r="B50" s="172">
        <v>8.5000000000000006E-2</v>
      </c>
      <c r="C50" s="173">
        <f t="shared" si="0"/>
        <v>30</v>
      </c>
      <c r="D50" s="172">
        <v>1E-3</v>
      </c>
      <c r="E50" s="173">
        <f t="shared" si="1"/>
        <v>54</v>
      </c>
      <c r="F50" s="172">
        <v>0</v>
      </c>
      <c r="G50" s="173">
        <f t="shared" si="2"/>
        <v>78</v>
      </c>
      <c r="H50" s="174">
        <v>0</v>
      </c>
      <c r="I50" s="173">
        <f t="shared" si="3"/>
        <v>102</v>
      </c>
      <c r="J50" s="174">
        <v>0</v>
      </c>
      <c r="K50" s="173">
        <f t="shared" si="4"/>
        <v>126</v>
      </c>
      <c r="L50" s="174">
        <v>0</v>
      </c>
      <c r="M50" s="175">
        <f t="shared" si="5"/>
        <v>150</v>
      </c>
      <c r="N50" s="176">
        <v>0</v>
      </c>
      <c r="P50" s="170" t="s">
        <v>94</v>
      </c>
    </row>
    <row r="51" spans="1:16" ht="12" customHeight="1">
      <c r="A51" s="171">
        <v>7</v>
      </c>
      <c r="B51" s="172">
        <v>6.9000000000000006E-2</v>
      </c>
      <c r="C51" s="173">
        <f t="shared" si="0"/>
        <v>31</v>
      </c>
      <c r="D51" s="172">
        <v>0</v>
      </c>
      <c r="E51" s="173">
        <f t="shared" si="1"/>
        <v>55</v>
      </c>
      <c r="F51" s="172">
        <v>0</v>
      </c>
      <c r="G51" s="173">
        <f t="shared" si="2"/>
        <v>79</v>
      </c>
      <c r="H51" s="174">
        <v>0</v>
      </c>
      <c r="I51" s="173">
        <f t="shared" si="3"/>
        <v>103</v>
      </c>
      <c r="J51" s="174">
        <v>0</v>
      </c>
      <c r="K51" s="173">
        <f t="shared" si="4"/>
        <v>127</v>
      </c>
      <c r="L51" s="174">
        <v>0</v>
      </c>
      <c r="M51" s="175">
        <f t="shared" si="5"/>
        <v>151</v>
      </c>
      <c r="N51" s="176">
        <v>0</v>
      </c>
      <c r="P51" s="170" t="s">
        <v>95</v>
      </c>
    </row>
    <row r="52" spans="1:16" ht="12" customHeight="1">
      <c r="A52" s="171">
        <v>8</v>
      </c>
      <c r="B52" s="172">
        <v>5.6000000000000001E-2</v>
      </c>
      <c r="C52" s="173">
        <f t="shared" si="0"/>
        <v>32</v>
      </c>
      <c r="D52" s="172">
        <v>0</v>
      </c>
      <c r="E52" s="173">
        <f t="shared" si="1"/>
        <v>56</v>
      </c>
      <c r="F52" s="172">
        <v>0</v>
      </c>
      <c r="G52" s="173">
        <f t="shared" si="2"/>
        <v>80</v>
      </c>
      <c r="H52" s="174">
        <v>0</v>
      </c>
      <c r="I52" s="173">
        <f t="shared" si="3"/>
        <v>104</v>
      </c>
      <c r="J52" s="174">
        <v>0</v>
      </c>
      <c r="K52" s="173">
        <f t="shared" si="4"/>
        <v>128</v>
      </c>
      <c r="L52" s="174">
        <v>0</v>
      </c>
      <c r="M52" s="175">
        <f t="shared" si="5"/>
        <v>152</v>
      </c>
      <c r="N52" s="176">
        <v>0</v>
      </c>
      <c r="P52" s="170" t="s">
        <v>96</v>
      </c>
    </row>
    <row r="53" spans="1:16" ht="12" customHeight="1">
      <c r="A53" s="171">
        <v>9</v>
      </c>
      <c r="B53" s="172">
        <v>4.4999999999999998E-2</v>
      </c>
      <c r="C53" s="173">
        <f t="shared" si="0"/>
        <v>33</v>
      </c>
      <c r="D53" s="172">
        <v>0</v>
      </c>
      <c r="E53" s="173">
        <f t="shared" si="1"/>
        <v>57</v>
      </c>
      <c r="F53" s="172">
        <v>0</v>
      </c>
      <c r="G53" s="173">
        <f t="shared" si="2"/>
        <v>81</v>
      </c>
      <c r="H53" s="174">
        <v>0</v>
      </c>
      <c r="I53" s="173">
        <f t="shared" si="3"/>
        <v>105</v>
      </c>
      <c r="J53" s="174">
        <v>0</v>
      </c>
      <c r="K53" s="173">
        <f t="shared" si="4"/>
        <v>129</v>
      </c>
      <c r="L53" s="174">
        <v>0</v>
      </c>
      <c r="M53" s="175">
        <f t="shared" si="5"/>
        <v>153</v>
      </c>
      <c r="N53" s="176">
        <v>0</v>
      </c>
      <c r="P53" s="170" t="s">
        <v>97</v>
      </c>
    </row>
    <row r="54" spans="1:16" ht="12" customHeight="1">
      <c r="A54" s="171">
        <v>10</v>
      </c>
      <c r="B54" s="172">
        <v>3.6999999999999998E-2</v>
      </c>
      <c r="C54" s="173">
        <f t="shared" si="0"/>
        <v>34</v>
      </c>
      <c r="D54" s="172">
        <v>0</v>
      </c>
      <c r="E54" s="173">
        <f t="shared" si="1"/>
        <v>58</v>
      </c>
      <c r="F54" s="172">
        <v>0</v>
      </c>
      <c r="G54" s="173">
        <f t="shared" si="2"/>
        <v>82</v>
      </c>
      <c r="H54" s="174">
        <v>0</v>
      </c>
      <c r="I54" s="173">
        <f t="shared" si="3"/>
        <v>106</v>
      </c>
      <c r="J54" s="174">
        <v>0</v>
      </c>
      <c r="K54" s="173">
        <f t="shared" si="4"/>
        <v>130</v>
      </c>
      <c r="L54" s="174">
        <v>0</v>
      </c>
      <c r="M54" s="175">
        <f t="shared" si="5"/>
        <v>154</v>
      </c>
      <c r="N54" s="176">
        <v>0</v>
      </c>
      <c r="P54" s="170" t="s">
        <v>98</v>
      </c>
    </row>
    <row r="55" spans="1:16" ht="12" customHeight="1">
      <c r="A55" s="171">
        <v>11</v>
      </c>
      <c r="B55" s="172">
        <v>0.03</v>
      </c>
      <c r="C55" s="173">
        <f t="shared" si="0"/>
        <v>35</v>
      </c>
      <c r="D55" s="172">
        <v>0</v>
      </c>
      <c r="E55" s="173">
        <f t="shared" si="1"/>
        <v>59</v>
      </c>
      <c r="F55" s="172">
        <v>0</v>
      </c>
      <c r="G55" s="173">
        <f t="shared" si="2"/>
        <v>83</v>
      </c>
      <c r="H55" s="174">
        <v>0</v>
      </c>
      <c r="I55" s="173">
        <f t="shared" si="3"/>
        <v>107</v>
      </c>
      <c r="J55" s="174">
        <v>0</v>
      </c>
      <c r="K55" s="173">
        <f t="shared" si="4"/>
        <v>131</v>
      </c>
      <c r="L55" s="174">
        <v>0</v>
      </c>
      <c r="M55" s="175">
        <f t="shared" si="5"/>
        <v>155</v>
      </c>
      <c r="N55" s="176">
        <v>0</v>
      </c>
      <c r="P55" s="170"/>
    </row>
    <row r="56" spans="1:16" ht="12" customHeight="1">
      <c r="A56" s="171">
        <v>12</v>
      </c>
      <c r="B56" s="172">
        <v>2.4E-2</v>
      </c>
      <c r="C56" s="173">
        <f t="shared" si="0"/>
        <v>36</v>
      </c>
      <c r="D56" s="172">
        <v>0</v>
      </c>
      <c r="E56" s="173">
        <f t="shared" si="1"/>
        <v>60</v>
      </c>
      <c r="F56" s="172">
        <v>0</v>
      </c>
      <c r="G56" s="173">
        <f t="shared" si="2"/>
        <v>84</v>
      </c>
      <c r="H56" s="174">
        <v>0</v>
      </c>
      <c r="I56" s="173">
        <f t="shared" si="3"/>
        <v>108</v>
      </c>
      <c r="J56" s="174">
        <v>0</v>
      </c>
      <c r="K56" s="173">
        <f t="shared" si="4"/>
        <v>132</v>
      </c>
      <c r="L56" s="174">
        <v>0</v>
      </c>
      <c r="M56" s="175">
        <f t="shared" si="5"/>
        <v>156</v>
      </c>
      <c r="N56" s="176">
        <v>0</v>
      </c>
      <c r="P56" s="170"/>
    </row>
    <row r="57" spans="1:16" ht="12" customHeight="1">
      <c r="A57" s="171">
        <v>13</v>
      </c>
      <c r="B57" s="172">
        <v>0.02</v>
      </c>
      <c r="C57" s="173">
        <f t="shared" si="0"/>
        <v>37</v>
      </c>
      <c r="D57" s="172">
        <v>0</v>
      </c>
      <c r="E57" s="173">
        <f t="shared" si="1"/>
        <v>61</v>
      </c>
      <c r="F57" s="172">
        <v>0</v>
      </c>
      <c r="G57" s="173">
        <f t="shared" si="2"/>
        <v>85</v>
      </c>
      <c r="H57" s="174">
        <v>0</v>
      </c>
      <c r="I57" s="173">
        <f t="shared" si="3"/>
        <v>109</v>
      </c>
      <c r="J57" s="174">
        <v>0</v>
      </c>
      <c r="K57" s="173">
        <f t="shared" si="4"/>
        <v>133</v>
      </c>
      <c r="L57" s="174">
        <v>0</v>
      </c>
      <c r="M57" s="175">
        <f t="shared" si="5"/>
        <v>157</v>
      </c>
      <c r="N57" s="176">
        <v>0</v>
      </c>
      <c r="P57" s="170"/>
    </row>
    <row r="58" spans="1:16" ht="12" customHeight="1">
      <c r="A58" s="171">
        <v>14</v>
      </c>
      <c r="B58" s="172">
        <v>1.6E-2</v>
      </c>
      <c r="C58" s="173">
        <f t="shared" si="0"/>
        <v>38</v>
      </c>
      <c r="D58" s="172">
        <v>0</v>
      </c>
      <c r="E58" s="173">
        <f t="shared" si="1"/>
        <v>62</v>
      </c>
      <c r="F58" s="172">
        <v>0</v>
      </c>
      <c r="G58" s="173">
        <f t="shared" si="2"/>
        <v>86</v>
      </c>
      <c r="H58" s="174">
        <v>0</v>
      </c>
      <c r="I58" s="173">
        <f t="shared" si="3"/>
        <v>110</v>
      </c>
      <c r="J58" s="174">
        <v>0</v>
      </c>
      <c r="K58" s="173">
        <f t="shared" si="4"/>
        <v>134</v>
      </c>
      <c r="L58" s="174">
        <v>0</v>
      </c>
      <c r="M58" s="175">
        <f t="shared" si="5"/>
        <v>158</v>
      </c>
      <c r="N58" s="176">
        <v>0</v>
      </c>
      <c r="P58" s="170"/>
    </row>
    <row r="59" spans="1:16" ht="12" customHeight="1">
      <c r="A59" s="171">
        <v>15</v>
      </c>
      <c r="B59" s="172">
        <v>1.2999999999999999E-2</v>
      </c>
      <c r="C59" s="173">
        <f t="shared" si="0"/>
        <v>39</v>
      </c>
      <c r="D59" s="172">
        <v>0</v>
      </c>
      <c r="E59" s="173">
        <f t="shared" si="1"/>
        <v>63</v>
      </c>
      <c r="F59" s="172">
        <v>0</v>
      </c>
      <c r="G59" s="173">
        <f t="shared" si="2"/>
        <v>87</v>
      </c>
      <c r="H59" s="174">
        <v>0</v>
      </c>
      <c r="I59" s="173">
        <f t="shared" si="3"/>
        <v>111</v>
      </c>
      <c r="J59" s="174">
        <v>0</v>
      </c>
      <c r="K59" s="173">
        <f t="shared" si="4"/>
        <v>135</v>
      </c>
      <c r="L59" s="174">
        <v>0</v>
      </c>
      <c r="M59" s="175">
        <f t="shared" si="5"/>
        <v>159</v>
      </c>
      <c r="N59" s="176">
        <v>0</v>
      </c>
      <c r="P59" s="170"/>
    </row>
    <row r="60" spans="1:16" ht="12" customHeight="1">
      <c r="A60" s="171">
        <v>16</v>
      </c>
      <c r="B60" s="172">
        <v>0.01</v>
      </c>
      <c r="C60" s="173">
        <f t="shared" si="0"/>
        <v>40</v>
      </c>
      <c r="D60" s="172">
        <v>0</v>
      </c>
      <c r="E60" s="173">
        <f t="shared" si="1"/>
        <v>64</v>
      </c>
      <c r="F60" s="172">
        <v>0</v>
      </c>
      <c r="G60" s="173">
        <f t="shared" si="2"/>
        <v>88</v>
      </c>
      <c r="H60" s="174">
        <v>0</v>
      </c>
      <c r="I60" s="173">
        <f t="shared" si="3"/>
        <v>112</v>
      </c>
      <c r="J60" s="174">
        <v>0</v>
      </c>
      <c r="K60" s="173">
        <f t="shared" si="4"/>
        <v>136</v>
      </c>
      <c r="L60" s="174">
        <v>0</v>
      </c>
      <c r="M60" s="175">
        <f t="shared" si="5"/>
        <v>160</v>
      </c>
      <c r="N60" s="176">
        <v>0</v>
      </c>
      <c r="P60" s="170"/>
    </row>
    <row r="61" spans="1:16" ht="12" customHeight="1">
      <c r="A61" s="171">
        <v>17</v>
      </c>
      <c r="B61" s="172">
        <v>8.0000000000000002E-3</v>
      </c>
      <c r="C61" s="173">
        <f t="shared" si="0"/>
        <v>41</v>
      </c>
      <c r="D61" s="172">
        <v>0</v>
      </c>
      <c r="E61" s="173">
        <f t="shared" si="1"/>
        <v>65</v>
      </c>
      <c r="F61" s="172">
        <v>0</v>
      </c>
      <c r="G61" s="173">
        <f t="shared" si="2"/>
        <v>89</v>
      </c>
      <c r="H61" s="174">
        <v>0</v>
      </c>
      <c r="I61" s="173">
        <f t="shared" si="3"/>
        <v>113</v>
      </c>
      <c r="J61" s="174">
        <v>0</v>
      </c>
      <c r="K61" s="173">
        <f t="shared" si="4"/>
        <v>137</v>
      </c>
      <c r="L61" s="174">
        <v>0</v>
      </c>
      <c r="M61" s="175">
        <f t="shared" si="5"/>
        <v>161</v>
      </c>
      <c r="N61" s="176">
        <v>0</v>
      </c>
      <c r="P61" s="170"/>
    </row>
    <row r="62" spans="1:16" ht="12" customHeight="1">
      <c r="A62" s="171">
        <v>18</v>
      </c>
      <c r="B62" s="172">
        <v>7.0000000000000001E-3</v>
      </c>
      <c r="C62" s="173">
        <f t="shared" si="0"/>
        <v>42</v>
      </c>
      <c r="D62" s="172">
        <v>0</v>
      </c>
      <c r="E62" s="173">
        <f t="shared" si="1"/>
        <v>66</v>
      </c>
      <c r="F62" s="172">
        <v>0</v>
      </c>
      <c r="G62" s="173">
        <f t="shared" si="2"/>
        <v>90</v>
      </c>
      <c r="H62" s="174">
        <v>0</v>
      </c>
      <c r="I62" s="173">
        <f t="shared" si="3"/>
        <v>114</v>
      </c>
      <c r="J62" s="174">
        <v>0</v>
      </c>
      <c r="K62" s="173">
        <f t="shared" si="4"/>
        <v>138</v>
      </c>
      <c r="L62" s="174">
        <v>0</v>
      </c>
      <c r="M62" s="175">
        <f t="shared" si="5"/>
        <v>162</v>
      </c>
      <c r="N62" s="176">
        <v>0</v>
      </c>
      <c r="P62" s="170"/>
    </row>
    <row r="63" spans="1:16" ht="12" customHeight="1">
      <c r="A63" s="171">
        <v>19</v>
      </c>
      <c r="B63" s="172">
        <v>5.0000000000000001E-3</v>
      </c>
      <c r="C63" s="173">
        <f t="shared" si="0"/>
        <v>43</v>
      </c>
      <c r="D63" s="172">
        <v>0</v>
      </c>
      <c r="E63" s="173">
        <f t="shared" si="1"/>
        <v>67</v>
      </c>
      <c r="F63" s="172">
        <v>0</v>
      </c>
      <c r="G63" s="173">
        <f t="shared" si="2"/>
        <v>91</v>
      </c>
      <c r="H63" s="174">
        <v>0</v>
      </c>
      <c r="I63" s="173">
        <f t="shared" si="3"/>
        <v>115</v>
      </c>
      <c r="J63" s="174">
        <v>0</v>
      </c>
      <c r="K63" s="173">
        <f t="shared" si="4"/>
        <v>139</v>
      </c>
      <c r="L63" s="174">
        <v>0</v>
      </c>
      <c r="M63" s="175">
        <f t="shared" si="5"/>
        <v>163</v>
      </c>
      <c r="N63" s="176">
        <v>0</v>
      </c>
      <c r="P63" s="170"/>
    </row>
    <row r="64" spans="1:16" ht="12" customHeight="1">
      <c r="A64" s="171">
        <v>20</v>
      </c>
      <c r="B64" s="172">
        <v>4.0000000000000001E-3</v>
      </c>
      <c r="C64" s="173">
        <f t="shared" si="0"/>
        <v>44</v>
      </c>
      <c r="D64" s="172">
        <v>0</v>
      </c>
      <c r="E64" s="173">
        <f t="shared" si="1"/>
        <v>68</v>
      </c>
      <c r="F64" s="172">
        <v>0</v>
      </c>
      <c r="G64" s="173">
        <f t="shared" si="2"/>
        <v>92</v>
      </c>
      <c r="H64" s="174">
        <v>0</v>
      </c>
      <c r="I64" s="173">
        <f t="shared" si="3"/>
        <v>116</v>
      </c>
      <c r="J64" s="174">
        <v>0</v>
      </c>
      <c r="K64" s="173">
        <f t="shared" si="4"/>
        <v>140</v>
      </c>
      <c r="L64" s="174">
        <v>0</v>
      </c>
      <c r="M64" s="175">
        <f t="shared" si="5"/>
        <v>164</v>
      </c>
      <c r="N64" s="176">
        <v>0</v>
      </c>
      <c r="P64" s="170"/>
    </row>
    <row r="65" spans="1:16" ht="12" customHeight="1">
      <c r="A65" s="171">
        <v>21</v>
      </c>
      <c r="B65" s="172">
        <v>4.0000000000000001E-3</v>
      </c>
      <c r="C65" s="173">
        <f t="shared" si="0"/>
        <v>45</v>
      </c>
      <c r="D65" s="172">
        <v>0</v>
      </c>
      <c r="E65" s="173">
        <f t="shared" si="1"/>
        <v>69</v>
      </c>
      <c r="F65" s="172">
        <v>0</v>
      </c>
      <c r="G65" s="173">
        <f t="shared" si="2"/>
        <v>93</v>
      </c>
      <c r="H65" s="174">
        <v>0</v>
      </c>
      <c r="I65" s="173">
        <f t="shared" si="3"/>
        <v>117</v>
      </c>
      <c r="J65" s="174">
        <v>0</v>
      </c>
      <c r="K65" s="173">
        <f t="shared" si="4"/>
        <v>141</v>
      </c>
      <c r="L65" s="174">
        <v>0</v>
      </c>
      <c r="M65" s="175">
        <f t="shared" si="5"/>
        <v>165</v>
      </c>
      <c r="N65" s="176">
        <v>0</v>
      </c>
      <c r="P65" s="170"/>
    </row>
    <row r="66" spans="1:16" ht="12" customHeight="1">
      <c r="A66" s="171">
        <v>22</v>
      </c>
      <c r="B66" s="172">
        <v>3.0000000000000001E-3</v>
      </c>
      <c r="C66" s="173">
        <f t="shared" si="0"/>
        <v>46</v>
      </c>
      <c r="D66" s="172">
        <v>0</v>
      </c>
      <c r="E66" s="173">
        <f t="shared" si="1"/>
        <v>70</v>
      </c>
      <c r="F66" s="172">
        <v>0</v>
      </c>
      <c r="G66" s="173">
        <f t="shared" si="2"/>
        <v>94</v>
      </c>
      <c r="H66" s="174">
        <v>0</v>
      </c>
      <c r="I66" s="173">
        <f t="shared" si="3"/>
        <v>118</v>
      </c>
      <c r="J66" s="174">
        <v>0</v>
      </c>
      <c r="K66" s="173">
        <f t="shared" si="4"/>
        <v>142</v>
      </c>
      <c r="L66" s="174">
        <v>0</v>
      </c>
      <c r="M66" s="175">
        <f t="shared" si="5"/>
        <v>166</v>
      </c>
      <c r="N66" s="176">
        <v>0</v>
      </c>
      <c r="P66" s="170"/>
    </row>
    <row r="67" spans="1:16" ht="12" customHeight="1">
      <c r="A67" s="178">
        <v>23</v>
      </c>
      <c r="B67" s="179">
        <v>2E-3</v>
      </c>
      <c r="C67" s="180">
        <f t="shared" si="0"/>
        <v>47</v>
      </c>
      <c r="D67" s="179">
        <v>0</v>
      </c>
      <c r="E67" s="180">
        <f t="shared" si="1"/>
        <v>71</v>
      </c>
      <c r="F67" s="179">
        <v>0</v>
      </c>
      <c r="G67" s="180">
        <f t="shared" si="2"/>
        <v>95</v>
      </c>
      <c r="H67" s="181">
        <v>0</v>
      </c>
      <c r="I67" s="180">
        <f t="shared" si="3"/>
        <v>119</v>
      </c>
      <c r="J67" s="181">
        <v>0</v>
      </c>
      <c r="K67" s="180">
        <f t="shared" si="4"/>
        <v>143</v>
      </c>
      <c r="L67" s="181">
        <v>0</v>
      </c>
      <c r="M67" s="182">
        <f t="shared" si="5"/>
        <v>167</v>
      </c>
      <c r="N67" s="183">
        <v>0</v>
      </c>
      <c r="P67" s="170"/>
    </row>
  </sheetData>
  <phoneticPr fontId="3"/>
  <pageMargins left="1.1811023622047245" right="0.70866141732283472" top="0.59055118110236227" bottom="0.39370078740157483" header="0.31496062992125984" footer="0.11811023622047245"/>
  <pageSetup paperSize="9" scale="62" orientation="landscape" horizontalDpi="1200" verticalDpi="1200" r:id="rId1"/>
  <headerFooter scaleWithDoc="0">
    <oddFooter>&amp;C&amp;"ＭＳ Ｐゴシック,標準"&amp;9( &amp;P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Z68"/>
  <sheetViews>
    <sheetView showGridLines="0" zoomScale="90" zoomScaleNormal="90" workbookViewId="0">
      <selection sqref="A1:E1"/>
    </sheetView>
  </sheetViews>
  <sheetFormatPr defaultColWidth="10.28515625" defaultRowHeight="15" customHeight="1"/>
  <cols>
    <col min="1" max="1" width="20.140625" style="199" customWidth="1"/>
    <col min="2" max="2" width="42.7109375" style="199" customWidth="1"/>
    <col min="3" max="5" width="24.7109375" style="199" customWidth="1"/>
    <col min="6" max="16384" width="10.28515625" style="199"/>
  </cols>
  <sheetData>
    <row r="1" spans="1:26" ht="18" customHeight="1">
      <c r="A1" s="196" t="s">
        <v>102</v>
      </c>
      <c r="B1" s="197"/>
      <c r="C1" s="197"/>
      <c r="D1" s="197"/>
      <c r="E1" s="198"/>
    </row>
    <row r="2" spans="1:26" ht="15" customHeight="1">
      <c r="A2" s="200"/>
      <c r="B2" s="201"/>
      <c r="C2" s="201"/>
      <c r="D2" s="201"/>
      <c r="E2" s="202" t="s">
        <v>103</v>
      </c>
    </row>
    <row r="3" spans="1:26" ht="15" customHeight="1">
      <c r="A3" s="203" t="s">
        <v>105</v>
      </c>
      <c r="B3" s="204" t="s">
        <v>106</v>
      </c>
      <c r="C3" s="205" t="s">
        <v>107</v>
      </c>
      <c r="D3" s="205"/>
      <c r="E3" s="206"/>
      <c r="Z3" s="207"/>
    </row>
    <row r="4" spans="1:26" ht="21" customHeight="1">
      <c r="A4" s="208"/>
      <c r="B4" s="209"/>
      <c r="C4" s="210" t="s">
        <v>108</v>
      </c>
      <c r="D4" s="211" t="s">
        <v>109</v>
      </c>
      <c r="E4" s="212" t="s">
        <v>110</v>
      </c>
      <c r="Z4" s="207"/>
    </row>
    <row r="5" spans="1:26" ht="15" customHeight="1">
      <c r="A5" s="213" t="s">
        <v>111</v>
      </c>
      <c r="B5" s="214" t="s">
        <v>112</v>
      </c>
      <c r="C5" s="215" t="s">
        <v>113</v>
      </c>
      <c r="D5" s="215" t="s">
        <v>113</v>
      </c>
      <c r="E5" s="216" t="s">
        <v>113</v>
      </c>
      <c r="F5" s="207"/>
      <c r="G5" s="207"/>
      <c r="H5" s="207"/>
      <c r="I5" s="207"/>
      <c r="J5" s="207"/>
      <c r="K5" s="207"/>
      <c r="L5" s="207"/>
      <c r="M5" s="207"/>
      <c r="N5" s="207"/>
      <c r="O5" s="207"/>
      <c r="P5" s="207"/>
      <c r="Q5" s="207"/>
      <c r="R5" s="207"/>
      <c r="S5" s="207"/>
      <c r="T5" s="207"/>
      <c r="U5" s="207"/>
      <c r="V5" s="207"/>
      <c r="W5" s="207"/>
      <c r="X5" s="207"/>
      <c r="Y5" s="207"/>
      <c r="Z5" s="207"/>
    </row>
    <row r="6" spans="1:26" ht="15" customHeight="1">
      <c r="A6" s="217" t="s">
        <v>114</v>
      </c>
      <c r="B6" s="218" t="s">
        <v>115</v>
      </c>
      <c r="C6" s="219" t="s">
        <v>116</v>
      </c>
      <c r="D6" s="219" t="s">
        <v>116</v>
      </c>
      <c r="E6" s="220" t="s">
        <v>116</v>
      </c>
      <c r="F6" s="207"/>
      <c r="G6" s="207"/>
      <c r="H6" s="207"/>
      <c r="I6" s="207"/>
      <c r="J6" s="207"/>
      <c r="K6" s="207"/>
      <c r="L6" s="207"/>
      <c r="M6" s="207"/>
      <c r="N6" s="207"/>
      <c r="O6" s="207"/>
      <c r="P6" s="207"/>
      <c r="Q6" s="207"/>
      <c r="R6" s="207"/>
      <c r="S6" s="207"/>
      <c r="T6" s="207"/>
      <c r="U6" s="207"/>
      <c r="V6" s="207"/>
      <c r="W6" s="207"/>
      <c r="X6" s="207"/>
      <c r="Y6" s="207"/>
      <c r="Z6" s="207"/>
    </row>
    <row r="7" spans="1:26" ht="15" customHeight="1">
      <c r="A7" s="217" t="s">
        <v>117</v>
      </c>
      <c r="B7" s="218" t="s">
        <v>118</v>
      </c>
      <c r="C7" s="219" t="s">
        <v>116</v>
      </c>
      <c r="D7" s="219" t="s">
        <v>116</v>
      </c>
      <c r="E7" s="220" t="s">
        <v>116</v>
      </c>
      <c r="F7" s="207"/>
      <c r="G7" s="207"/>
      <c r="H7" s="207"/>
      <c r="I7" s="207"/>
      <c r="J7" s="207"/>
      <c r="K7" s="207"/>
      <c r="L7" s="207"/>
      <c r="M7" s="207"/>
      <c r="N7" s="207"/>
      <c r="O7" s="207"/>
      <c r="P7" s="207"/>
      <c r="Q7" s="207"/>
      <c r="R7" s="207"/>
      <c r="S7" s="207"/>
      <c r="T7" s="207"/>
      <c r="U7" s="207"/>
      <c r="V7" s="207"/>
      <c r="W7" s="207"/>
      <c r="X7" s="207"/>
      <c r="Y7" s="207"/>
      <c r="Z7" s="207"/>
    </row>
    <row r="8" spans="1:26" ht="15" customHeight="1">
      <c r="A8" s="217" t="s">
        <v>119</v>
      </c>
      <c r="B8" s="218" t="s">
        <v>120</v>
      </c>
      <c r="C8" s="219" t="s">
        <v>121</v>
      </c>
      <c r="D8" s="219" t="s">
        <v>121</v>
      </c>
      <c r="E8" s="220" t="s">
        <v>121</v>
      </c>
      <c r="F8" s="207"/>
      <c r="G8" s="207"/>
      <c r="H8" s="207"/>
      <c r="I8" s="207"/>
      <c r="J8" s="207"/>
      <c r="K8" s="207"/>
      <c r="L8" s="207"/>
      <c r="M8" s="207"/>
      <c r="N8" s="207"/>
      <c r="O8" s="207"/>
      <c r="P8" s="207"/>
      <c r="Q8" s="207"/>
      <c r="R8" s="207"/>
      <c r="S8" s="207"/>
      <c r="T8" s="207"/>
      <c r="U8" s="207"/>
      <c r="V8" s="207"/>
      <c r="W8" s="207"/>
      <c r="X8" s="207"/>
      <c r="Y8" s="207"/>
      <c r="Z8" s="207"/>
    </row>
    <row r="9" spans="1:26" ht="15" customHeight="1">
      <c r="A9" s="217" t="s">
        <v>122</v>
      </c>
      <c r="B9" s="218" t="s">
        <v>123</v>
      </c>
      <c r="C9" s="219" t="s">
        <v>113</v>
      </c>
      <c r="D9" s="219" t="s">
        <v>113</v>
      </c>
      <c r="E9" s="220" t="s">
        <v>113</v>
      </c>
      <c r="F9" s="207"/>
      <c r="G9" s="207"/>
      <c r="H9" s="207"/>
      <c r="I9" s="207"/>
      <c r="J9" s="207"/>
      <c r="K9" s="207"/>
      <c r="L9" s="207"/>
      <c r="M9" s="207"/>
      <c r="N9" s="207"/>
      <c r="O9" s="207"/>
      <c r="P9" s="207"/>
      <c r="Q9" s="207"/>
      <c r="R9" s="207"/>
      <c r="S9" s="207"/>
      <c r="T9" s="207"/>
      <c r="U9" s="207"/>
      <c r="V9" s="207"/>
      <c r="W9" s="207"/>
      <c r="X9" s="207"/>
      <c r="Y9" s="207"/>
      <c r="Z9" s="207"/>
    </row>
    <row r="10" spans="1:26" ht="15" customHeight="1">
      <c r="A10" s="217" t="s">
        <v>124</v>
      </c>
      <c r="B10" s="218" t="s">
        <v>125</v>
      </c>
      <c r="C10" s="219" t="s">
        <v>126</v>
      </c>
      <c r="D10" s="219" t="s">
        <v>113</v>
      </c>
      <c r="E10" s="220" t="s">
        <v>126</v>
      </c>
      <c r="F10" s="207"/>
      <c r="G10" s="207"/>
      <c r="H10" s="207"/>
      <c r="I10" s="207"/>
      <c r="J10" s="207"/>
      <c r="K10" s="207"/>
      <c r="L10" s="207"/>
      <c r="M10" s="207"/>
      <c r="N10" s="207"/>
      <c r="O10" s="207"/>
      <c r="P10" s="207"/>
      <c r="Q10" s="207"/>
      <c r="R10" s="207"/>
      <c r="S10" s="207"/>
      <c r="T10" s="207"/>
      <c r="U10" s="207"/>
      <c r="V10" s="207"/>
      <c r="W10" s="207"/>
      <c r="X10" s="207"/>
      <c r="Y10" s="207"/>
      <c r="Z10" s="207"/>
    </row>
    <row r="11" spans="1:26" ht="15" customHeight="1">
      <c r="A11" s="221" t="s">
        <v>127</v>
      </c>
      <c r="B11" s="218" t="s">
        <v>128</v>
      </c>
      <c r="C11" s="219" t="s">
        <v>129</v>
      </c>
      <c r="D11" s="219" t="s">
        <v>130</v>
      </c>
      <c r="E11" s="220" t="s">
        <v>130</v>
      </c>
      <c r="F11" s="207"/>
      <c r="G11" s="207"/>
      <c r="H11" s="207"/>
      <c r="I11" s="207"/>
      <c r="J11" s="207"/>
      <c r="K11" s="207"/>
      <c r="L11" s="207"/>
      <c r="M11" s="207"/>
      <c r="N11" s="207"/>
      <c r="O11" s="207"/>
      <c r="P11" s="207"/>
      <c r="Q11" s="207"/>
      <c r="R11" s="207"/>
      <c r="S11" s="207"/>
      <c r="T11" s="207"/>
      <c r="U11" s="207"/>
      <c r="V11" s="207"/>
      <c r="W11" s="207"/>
      <c r="X11" s="207"/>
      <c r="Y11" s="207"/>
      <c r="Z11" s="207"/>
    </row>
    <row r="12" spans="1:26" ht="15" customHeight="1">
      <c r="A12" s="221" t="s">
        <v>131</v>
      </c>
      <c r="B12" s="218" t="s">
        <v>131</v>
      </c>
      <c r="C12" s="219" t="s">
        <v>130</v>
      </c>
      <c r="D12" s="219" t="s">
        <v>130</v>
      </c>
      <c r="E12" s="220" t="s">
        <v>130</v>
      </c>
      <c r="F12" s="207"/>
      <c r="G12" s="207"/>
      <c r="H12" s="207"/>
      <c r="I12" s="207"/>
      <c r="J12" s="207"/>
      <c r="K12" s="207"/>
      <c r="L12" s="207"/>
      <c r="M12" s="207"/>
      <c r="N12" s="207"/>
      <c r="O12" s="207"/>
      <c r="P12" s="207"/>
      <c r="Q12" s="207"/>
      <c r="R12" s="207"/>
      <c r="S12" s="207"/>
      <c r="T12" s="207"/>
      <c r="U12" s="207"/>
      <c r="V12" s="207"/>
      <c r="W12" s="207"/>
      <c r="X12" s="207"/>
      <c r="Y12" s="207"/>
      <c r="Z12" s="207"/>
    </row>
    <row r="13" spans="1:26" ht="15" customHeight="1">
      <c r="A13" s="221" t="s">
        <v>132</v>
      </c>
      <c r="B13" s="218" t="s">
        <v>133</v>
      </c>
      <c r="C13" s="219" t="s">
        <v>129</v>
      </c>
      <c r="D13" s="219" t="s">
        <v>130</v>
      </c>
      <c r="E13" s="220" t="s">
        <v>130</v>
      </c>
      <c r="F13" s="207"/>
      <c r="G13" s="207"/>
      <c r="H13" s="207"/>
      <c r="I13" s="207"/>
      <c r="J13" s="207"/>
      <c r="K13" s="207"/>
      <c r="L13" s="207"/>
      <c r="M13" s="207"/>
      <c r="N13" s="207"/>
      <c r="O13" s="207"/>
      <c r="P13" s="207"/>
      <c r="Q13" s="207"/>
      <c r="R13" s="207"/>
      <c r="S13" s="207"/>
      <c r="T13" s="207"/>
      <c r="U13" s="207"/>
      <c r="V13" s="207"/>
      <c r="W13" s="207"/>
      <c r="X13" s="207"/>
      <c r="Y13" s="207"/>
      <c r="Z13" s="207"/>
    </row>
    <row r="14" spans="1:26" ht="15" customHeight="1">
      <c r="A14" s="217" t="s">
        <v>134</v>
      </c>
      <c r="B14" s="218" t="s">
        <v>135</v>
      </c>
      <c r="C14" s="219" t="s">
        <v>129</v>
      </c>
      <c r="D14" s="219" t="s">
        <v>130</v>
      </c>
      <c r="E14" s="220" t="s">
        <v>130</v>
      </c>
      <c r="F14" s="207"/>
      <c r="G14" s="207"/>
      <c r="H14" s="207"/>
      <c r="I14" s="207"/>
      <c r="J14" s="207"/>
      <c r="K14" s="207"/>
      <c r="L14" s="207"/>
      <c r="M14" s="207"/>
      <c r="N14" s="207"/>
      <c r="O14" s="207"/>
      <c r="P14" s="207"/>
      <c r="Q14" s="207"/>
      <c r="R14" s="207"/>
      <c r="S14" s="207"/>
      <c r="T14" s="207"/>
      <c r="U14" s="207"/>
      <c r="V14" s="207"/>
      <c r="W14" s="207"/>
      <c r="X14" s="207"/>
      <c r="Y14" s="207"/>
      <c r="Z14" s="207"/>
    </row>
    <row r="15" spans="1:26" ht="15" customHeight="1">
      <c r="A15" s="217" t="s">
        <v>136</v>
      </c>
      <c r="B15" s="218" t="s">
        <v>137</v>
      </c>
      <c r="C15" s="219" t="s">
        <v>138</v>
      </c>
      <c r="D15" s="219" t="s">
        <v>138</v>
      </c>
      <c r="E15" s="220" t="s">
        <v>138</v>
      </c>
      <c r="F15" s="207"/>
      <c r="G15" s="207"/>
      <c r="H15" s="207"/>
      <c r="I15" s="207"/>
      <c r="J15" s="207"/>
      <c r="K15" s="207"/>
      <c r="L15" s="207"/>
      <c r="M15" s="207"/>
      <c r="N15" s="207"/>
      <c r="O15" s="207"/>
      <c r="P15" s="207"/>
      <c r="Q15" s="207"/>
      <c r="R15" s="207"/>
      <c r="S15" s="207"/>
      <c r="T15" s="207"/>
      <c r="U15" s="207"/>
      <c r="V15" s="207"/>
      <c r="W15" s="207"/>
      <c r="X15" s="207"/>
      <c r="Y15" s="207"/>
      <c r="Z15" s="207"/>
    </row>
    <row r="16" spans="1:26" ht="15" customHeight="1">
      <c r="A16" s="217" t="s">
        <v>139</v>
      </c>
      <c r="B16" s="218" t="s">
        <v>140</v>
      </c>
      <c r="C16" s="219" t="s">
        <v>129</v>
      </c>
      <c r="D16" s="219" t="s">
        <v>138</v>
      </c>
      <c r="E16" s="220" t="s">
        <v>138</v>
      </c>
      <c r="F16" s="207"/>
      <c r="G16" s="207"/>
      <c r="H16" s="207"/>
      <c r="I16" s="207"/>
      <c r="J16" s="207"/>
      <c r="K16" s="207"/>
      <c r="L16" s="207"/>
      <c r="M16" s="207"/>
      <c r="N16" s="207"/>
      <c r="O16" s="207"/>
      <c r="P16" s="207"/>
      <c r="Q16" s="207"/>
      <c r="R16" s="207"/>
      <c r="S16" s="207"/>
      <c r="T16" s="207"/>
      <c r="U16" s="207"/>
      <c r="V16" s="207"/>
      <c r="W16" s="207"/>
      <c r="X16" s="207"/>
      <c r="Y16" s="207"/>
      <c r="Z16" s="207"/>
    </row>
    <row r="17" spans="1:26" ht="15" customHeight="1">
      <c r="A17" s="217" t="s">
        <v>141</v>
      </c>
      <c r="B17" s="218" t="s">
        <v>142</v>
      </c>
      <c r="C17" s="219" t="s">
        <v>143</v>
      </c>
      <c r="D17" s="219" t="s">
        <v>143</v>
      </c>
      <c r="E17" s="220" t="s">
        <v>143</v>
      </c>
      <c r="F17" s="207"/>
      <c r="G17" s="207"/>
      <c r="H17" s="207"/>
      <c r="I17" s="207"/>
      <c r="J17" s="207"/>
      <c r="K17" s="207"/>
      <c r="L17" s="207"/>
      <c r="M17" s="207"/>
      <c r="N17" s="207"/>
      <c r="O17" s="207"/>
      <c r="P17" s="207"/>
      <c r="Q17" s="207"/>
      <c r="R17" s="207"/>
      <c r="S17" s="207"/>
      <c r="T17" s="207"/>
      <c r="U17" s="207"/>
      <c r="V17" s="207"/>
      <c r="W17" s="207"/>
      <c r="X17" s="207"/>
      <c r="Y17" s="207"/>
      <c r="Z17" s="207"/>
    </row>
    <row r="18" spans="1:26" ht="15" customHeight="1">
      <c r="A18" s="221" t="s">
        <v>144</v>
      </c>
      <c r="B18" s="218" t="s">
        <v>145</v>
      </c>
      <c r="C18" s="219" t="s">
        <v>146</v>
      </c>
      <c r="D18" s="219" t="s">
        <v>146</v>
      </c>
      <c r="E18" s="220" t="s">
        <v>146</v>
      </c>
      <c r="F18" s="207"/>
      <c r="G18" s="207"/>
      <c r="H18" s="207"/>
      <c r="I18" s="207"/>
      <c r="J18" s="207"/>
      <c r="K18" s="207"/>
      <c r="L18" s="207"/>
      <c r="M18" s="207"/>
      <c r="N18" s="207"/>
      <c r="O18" s="207"/>
      <c r="P18" s="207"/>
      <c r="Q18" s="207"/>
      <c r="R18" s="207"/>
      <c r="S18" s="207"/>
      <c r="T18" s="207"/>
      <c r="U18" s="207"/>
      <c r="V18" s="207"/>
      <c r="W18" s="207"/>
      <c r="X18" s="207"/>
      <c r="Y18" s="207"/>
      <c r="Z18" s="207"/>
    </row>
    <row r="19" spans="1:26" ht="15" customHeight="1">
      <c r="A19" s="221"/>
      <c r="B19" s="218"/>
      <c r="C19" s="219"/>
      <c r="D19" s="219"/>
      <c r="E19" s="220"/>
      <c r="F19" s="207"/>
      <c r="G19" s="207"/>
      <c r="H19" s="207"/>
      <c r="I19" s="207"/>
      <c r="J19" s="207"/>
      <c r="K19" s="207"/>
      <c r="L19" s="207"/>
      <c r="M19" s="207"/>
      <c r="N19" s="207"/>
      <c r="O19" s="207"/>
      <c r="P19" s="207"/>
      <c r="Q19" s="207"/>
      <c r="R19" s="207"/>
      <c r="S19" s="207"/>
      <c r="T19" s="207"/>
      <c r="U19" s="207"/>
      <c r="V19" s="207"/>
      <c r="W19" s="207"/>
      <c r="X19" s="207"/>
      <c r="Y19" s="207"/>
      <c r="Z19" s="207"/>
    </row>
    <row r="20" spans="1:26" ht="15" customHeight="1">
      <c r="A20" s="221"/>
      <c r="B20" s="218"/>
      <c r="C20" s="219"/>
      <c r="D20" s="219"/>
      <c r="E20" s="220"/>
      <c r="F20" s="207"/>
      <c r="G20" s="207"/>
      <c r="H20" s="207"/>
      <c r="I20" s="207"/>
      <c r="J20" s="207"/>
      <c r="K20" s="207"/>
      <c r="L20" s="207"/>
      <c r="M20" s="207"/>
      <c r="N20" s="207"/>
      <c r="O20" s="207"/>
      <c r="P20" s="207"/>
      <c r="Q20" s="207"/>
      <c r="R20" s="207"/>
      <c r="S20" s="207"/>
      <c r="T20" s="207"/>
      <c r="U20" s="207"/>
      <c r="V20" s="207"/>
      <c r="W20" s="207"/>
      <c r="X20" s="207"/>
      <c r="Y20" s="207"/>
      <c r="Z20" s="207"/>
    </row>
    <row r="21" spans="1:26" ht="15" customHeight="1">
      <c r="A21" s="221"/>
      <c r="B21" s="218"/>
      <c r="C21" s="219"/>
      <c r="D21" s="219"/>
      <c r="E21" s="220"/>
      <c r="F21" s="207"/>
      <c r="G21" s="207"/>
      <c r="H21" s="207"/>
      <c r="I21" s="207"/>
      <c r="J21" s="207"/>
      <c r="K21" s="207"/>
      <c r="L21" s="207"/>
      <c r="M21" s="207"/>
      <c r="N21" s="207"/>
      <c r="O21" s="207"/>
      <c r="P21" s="207"/>
      <c r="Q21" s="207"/>
      <c r="R21" s="207"/>
      <c r="S21" s="207"/>
      <c r="T21" s="207"/>
      <c r="U21" s="207"/>
      <c r="V21" s="207"/>
      <c r="W21" s="207"/>
      <c r="X21" s="207"/>
      <c r="Y21" s="207"/>
      <c r="Z21" s="207"/>
    </row>
    <row r="22" spans="1:26" ht="15" customHeight="1">
      <c r="A22" s="217"/>
      <c r="B22" s="218"/>
      <c r="C22" s="219"/>
      <c r="D22" s="219"/>
      <c r="E22" s="220"/>
      <c r="F22" s="207"/>
      <c r="G22" s="207"/>
      <c r="H22" s="207"/>
      <c r="I22" s="207"/>
      <c r="J22" s="207"/>
      <c r="K22" s="207"/>
      <c r="L22" s="207"/>
      <c r="M22" s="207"/>
      <c r="N22" s="207"/>
      <c r="O22" s="207"/>
      <c r="P22" s="207"/>
      <c r="Q22" s="207"/>
      <c r="R22" s="207"/>
      <c r="S22" s="207"/>
      <c r="T22" s="207"/>
      <c r="U22" s="207"/>
      <c r="V22" s="207"/>
      <c r="W22" s="207"/>
      <c r="X22" s="207"/>
      <c r="Y22" s="207"/>
      <c r="Z22" s="207"/>
    </row>
    <row r="23" spans="1:26" ht="15" customHeight="1">
      <c r="A23" s="217"/>
      <c r="B23" s="218"/>
      <c r="C23" s="219"/>
      <c r="D23" s="219"/>
      <c r="E23" s="220"/>
      <c r="F23" s="207"/>
      <c r="G23" s="207"/>
      <c r="H23" s="207"/>
      <c r="I23" s="207"/>
      <c r="J23" s="207"/>
      <c r="K23" s="207"/>
      <c r="L23" s="207"/>
      <c r="M23" s="207"/>
      <c r="N23" s="207"/>
      <c r="O23" s="207"/>
      <c r="P23" s="207"/>
      <c r="Q23" s="207"/>
      <c r="R23" s="207"/>
      <c r="S23" s="207"/>
      <c r="T23" s="207"/>
      <c r="U23" s="207"/>
      <c r="V23" s="207"/>
      <c r="W23" s="207"/>
      <c r="X23" s="207"/>
      <c r="Y23" s="207"/>
      <c r="Z23" s="207"/>
    </row>
    <row r="24" spans="1:26" ht="15" customHeight="1">
      <c r="A24" s="221"/>
      <c r="B24" s="218"/>
      <c r="C24" s="219"/>
      <c r="D24" s="219"/>
      <c r="E24" s="220"/>
      <c r="F24" s="207"/>
      <c r="G24" s="207"/>
      <c r="H24" s="207"/>
      <c r="I24" s="207"/>
      <c r="J24" s="207"/>
      <c r="K24" s="207"/>
      <c r="L24" s="207"/>
      <c r="M24" s="207"/>
      <c r="N24" s="207"/>
      <c r="O24" s="207"/>
      <c r="P24" s="207"/>
      <c r="Q24" s="207"/>
      <c r="R24" s="207"/>
      <c r="S24" s="207"/>
      <c r="T24" s="207"/>
      <c r="U24" s="207"/>
      <c r="V24" s="207"/>
      <c r="W24" s="207"/>
      <c r="X24" s="207"/>
      <c r="Y24" s="207"/>
      <c r="Z24" s="207"/>
    </row>
    <row r="25" spans="1:26" ht="15" customHeight="1">
      <c r="A25" s="221"/>
      <c r="B25" s="218"/>
      <c r="C25" s="219"/>
      <c r="D25" s="219"/>
      <c r="E25" s="220"/>
      <c r="F25" s="207"/>
      <c r="G25" s="207"/>
      <c r="H25" s="207"/>
      <c r="I25" s="207"/>
      <c r="J25" s="207"/>
      <c r="K25" s="207"/>
      <c r="L25" s="207"/>
      <c r="M25" s="207"/>
      <c r="N25" s="207"/>
      <c r="O25" s="207"/>
      <c r="P25" s="207"/>
      <c r="Q25" s="207"/>
      <c r="R25" s="207"/>
      <c r="S25" s="207"/>
      <c r="T25" s="207"/>
      <c r="U25" s="207"/>
      <c r="V25" s="207"/>
      <c r="W25" s="207"/>
      <c r="X25" s="207"/>
      <c r="Y25" s="207"/>
      <c r="Z25" s="207"/>
    </row>
    <row r="26" spans="1:26" s="207" customFormat="1" ht="15" customHeight="1">
      <c r="A26" s="221"/>
      <c r="B26" s="218"/>
      <c r="C26" s="219"/>
      <c r="D26" s="219"/>
      <c r="E26" s="220"/>
    </row>
    <row r="27" spans="1:26" ht="15" customHeight="1">
      <c r="A27" s="221"/>
      <c r="B27" s="218"/>
      <c r="C27" s="219"/>
      <c r="D27" s="219"/>
      <c r="E27" s="220"/>
      <c r="Z27" s="207"/>
    </row>
    <row r="28" spans="1:26" ht="15" customHeight="1">
      <c r="A28" s="221"/>
      <c r="B28" s="218"/>
      <c r="C28" s="219"/>
      <c r="D28" s="219"/>
      <c r="E28" s="220"/>
      <c r="Z28" s="207"/>
    </row>
    <row r="29" spans="1:26" ht="15" customHeight="1">
      <c r="A29" s="221"/>
      <c r="B29" s="218"/>
      <c r="C29" s="219"/>
      <c r="D29" s="219"/>
      <c r="E29" s="220"/>
      <c r="Z29" s="207"/>
    </row>
    <row r="30" spans="1:26" ht="15" customHeight="1">
      <c r="A30" s="222"/>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row>
    <row r="31" spans="1:26" ht="15" customHeight="1">
      <c r="A31" s="222"/>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row>
    <row r="32" spans="1:26" ht="15" customHeight="1">
      <c r="A32" s="222"/>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row>
    <row r="33" spans="1:26" ht="15" customHeight="1">
      <c r="A33" s="222"/>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row>
    <row r="34" spans="1:26" ht="15" customHeight="1">
      <c r="A34" s="222"/>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row>
    <row r="35" spans="1:26" ht="15" customHeight="1">
      <c r="A35" s="222"/>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row>
    <row r="36" spans="1:26" ht="15" customHeight="1">
      <c r="A36" s="222"/>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row>
    <row r="37" spans="1:26" ht="15" customHeight="1">
      <c r="A37" s="222"/>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row>
    <row r="38" spans="1:26" ht="15" customHeight="1">
      <c r="A38" s="222"/>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row>
    <row r="39" spans="1:26" ht="15" customHeight="1">
      <c r="A39" s="222"/>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row>
    <row r="40" spans="1:26" ht="15" customHeight="1">
      <c r="A40" s="222"/>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1:26" ht="15" customHeight="1">
      <c r="A41" s="222"/>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1:26" ht="15" customHeight="1">
      <c r="A42" s="222"/>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1:26" ht="15" customHeight="1">
      <c r="A43" s="222"/>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5" customHeight="1">
      <c r="A44" s="222"/>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5" customHeight="1">
      <c r="A45" s="222"/>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5" customHeight="1">
      <c r="A46" s="222"/>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5" customHeight="1">
      <c r="A47" s="223"/>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07"/>
    </row>
    <row r="48" spans="1:26" ht="15" customHeight="1">
      <c r="Z48" s="207"/>
    </row>
    <row r="49" spans="1:26" ht="15" customHeight="1">
      <c r="Z49" s="207"/>
    </row>
    <row r="50" spans="1:26" ht="15" customHeight="1">
      <c r="Z50" s="207"/>
    </row>
    <row r="51" spans="1:26" ht="15" customHeight="1">
      <c r="A51" s="222"/>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5" customHeight="1">
      <c r="A52" s="222"/>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5" customHeight="1">
      <c r="A53" s="222"/>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5" customHeight="1">
      <c r="A54" s="222"/>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5" customHeight="1">
      <c r="A55" s="222"/>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5" customHeight="1">
      <c r="A56" s="222"/>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5" customHeight="1">
      <c r="A57" s="222"/>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5" customHeight="1">
      <c r="A58" s="222"/>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5" customHeight="1">
      <c r="A59" s="222"/>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5" customHeight="1">
      <c r="A60" s="222"/>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5" customHeight="1">
      <c r="A61" s="222"/>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5" customHeight="1">
      <c r="A62" s="222"/>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5" customHeight="1">
      <c r="A63" s="222"/>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5" customHeight="1">
      <c r="A64" s="222"/>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5" customHeight="1">
      <c r="A65" s="222"/>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5" customHeight="1">
      <c r="A66" s="222"/>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5" customHeight="1">
      <c r="A67" s="222"/>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5" customHeight="1">
      <c r="A68" s="223"/>
      <c r="B68" s="224"/>
      <c r="C68" s="224"/>
      <c r="D68" s="224"/>
      <c r="E68" s="224"/>
      <c r="F68" s="224"/>
      <c r="G68" s="224"/>
      <c r="H68" s="224"/>
      <c r="I68" s="224"/>
      <c r="J68" s="224"/>
      <c r="K68" s="224"/>
      <c r="L68" s="224"/>
      <c r="M68" s="224"/>
      <c r="N68" s="224"/>
      <c r="O68" s="224"/>
      <c r="P68" s="224"/>
      <c r="Q68" s="224"/>
      <c r="R68" s="224"/>
      <c r="S68" s="224"/>
      <c r="T68" s="224"/>
      <c r="U68" s="224"/>
      <c r="V68" s="224"/>
      <c r="W68" s="224"/>
      <c r="X68" s="224"/>
      <c r="Y68" s="224"/>
      <c r="Z68" s="207"/>
    </row>
  </sheetData>
  <mergeCells count="3">
    <mergeCell ref="A3:A4"/>
    <mergeCell ref="B3:B4"/>
    <mergeCell ref="C3:E3"/>
  </mergeCells>
  <phoneticPr fontId="3"/>
  <printOptions horizontalCentered="1"/>
  <pageMargins left="0.74803149606299213" right="0.74803149606299213" top="0.98425196850393704" bottom="0.98425196850393704" header="0.51181102362204722" footer="0.51181102362204722"/>
  <pageSetup paperSize="9" scale="96" fitToHeight="0" orientation="landscape" horizontalDpi="400" verticalDpi="400" r:id="rId1"/>
  <headerFooter scaleWithDoc="0">
    <oddFooter>&amp;C&amp;"ＭＳ Ｐゴシック,標準"&amp;9( &amp;P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B96"/>
  <sheetViews>
    <sheetView showGridLines="0" zoomScale="80" zoomScaleNormal="80" workbookViewId="0">
      <selection sqref="A1:E1"/>
    </sheetView>
  </sheetViews>
  <sheetFormatPr defaultColWidth="8.42578125" defaultRowHeight="15" customHeight="1"/>
  <cols>
    <col min="1" max="1" width="7.7109375" style="108" customWidth="1"/>
    <col min="2" max="26" width="7.7109375" style="54" customWidth="1"/>
    <col min="27" max="16384" width="8.42578125" style="54"/>
  </cols>
  <sheetData>
    <row r="1" spans="1:28" s="53" customFormat="1" ht="26.1" customHeight="1">
      <c r="A1" s="225" t="s">
        <v>184</v>
      </c>
      <c r="B1" s="50"/>
      <c r="C1" s="50"/>
      <c r="D1" s="50"/>
      <c r="E1" s="50"/>
      <c r="F1" s="50"/>
      <c r="G1" s="50"/>
      <c r="H1" s="50"/>
      <c r="I1" s="50"/>
      <c r="J1" s="50"/>
      <c r="K1" s="50"/>
      <c r="L1" s="50"/>
      <c r="M1" s="50"/>
      <c r="N1" s="50"/>
      <c r="O1" s="50"/>
      <c r="P1" s="50"/>
      <c r="Q1" s="50"/>
      <c r="R1" s="50"/>
      <c r="S1" s="50"/>
      <c r="T1" s="50"/>
      <c r="U1" s="50"/>
      <c r="V1" s="50"/>
      <c r="W1" s="50"/>
      <c r="X1" s="50"/>
      <c r="Y1" s="50"/>
      <c r="Z1" s="50"/>
      <c r="AA1" s="50"/>
      <c r="AB1" s="52"/>
    </row>
    <row r="2" spans="1:28" ht="15" customHeight="1">
      <c r="V2" s="226"/>
      <c r="W2" s="226"/>
    </row>
    <row r="3" spans="1:28" ht="15" customHeight="1">
      <c r="A3" s="108" t="s">
        <v>147</v>
      </c>
      <c r="C3" s="227" t="s">
        <v>23</v>
      </c>
      <c r="D3" s="227"/>
      <c r="E3" s="61"/>
      <c r="F3" s="61"/>
      <c r="O3" s="61"/>
      <c r="P3" s="61"/>
      <c r="Q3" s="61"/>
      <c r="R3" s="61"/>
      <c r="S3" s="61"/>
      <c r="T3" s="61"/>
      <c r="U3" s="61"/>
      <c r="V3" s="226"/>
      <c r="W3" s="54" t="s">
        <v>148</v>
      </c>
    </row>
    <row r="4" spans="1:28" ht="15" customHeight="1">
      <c r="A4" s="108" t="s">
        <v>149</v>
      </c>
      <c r="C4" s="227" t="s">
        <v>185</v>
      </c>
      <c r="D4" s="227"/>
      <c r="E4" s="61"/>
      <c r="F4" s="61"/>
      <c r="O4" s="228" t="s">
        <v>150</v>
      </c>
      <c r="P4" s="229"/>
      <c r="Q4" s="229"/>
      <c r="R4" s="229"/>
      <c r="S4" s="229"/>
      <c r="T4" s="229"/>
      <c r="U4" s="230"/>
      <c r="V4" s="226"/>
      <c r="W4" s="170" t="s">
        <v>186</v>
      </c>
    </row>
    <row r="5" spans="1:28" ht="15" customHeight="1">
      <c r="O5" s="231" t="s">
        <v>79</v>
      </c>
      <c r="P5" s="232" t="s">
        <v>151</v>
      </c>
      <c r="Q5" s="232" t="s">
        <v>152</v>
      </c>
      <c r="R5" s="232" t="s">
        <v>153</v>
      </c>
      <c r="S5" s="232" t="s">
        <v>154</v>
      </c>
      <c r="T5" s="232" t="s">
        <v>155</v>
      </c>
      <c r="U5" s="233" t="s">
        <v>156</v>
      </c>
      <c r="W5" s="170" t="s">
        <v>187</v>
      </c>
    </row>
    <row r="6" spans="1:28" ht="15" customHeight="1">
      <c r="O6" s="234"/>
      <c r="P6" s="235"/>
      <c r="Q6" s="235"/>
      <c r="R6" s="235"/>
      <c r="S6" s="235"/>
      <c r="T6" s="235"/>
      <c r="U6" s="236"/>
      <c r="W6" s="170" t="s">
        <v>188</v>
      </c>
    </row>
    <row r="7" spans="1:28" ht="15" customHeight="1">
      <c r="Q7" s="226"/>
      <c r="R7" s="226"/>
      <c r="S7" s="226"/>
      <c r="T7" s="226"/>
      <c r="U7" s="226"/>
      <c r="W7" s="170" t="s">
        <v>189</v>
      </c>
    </row>
    <row r="8" spans="1:28" ht="15" customHeight="1">
      <c r="P8" s="226"/>
      <c r="Q8" s="226"/>
      <c r="R8" s="226"/>
      <c r="S8" s="226"/>
      <c r="T8" s="226"/>
      <c r="U8" s="226"/>
      <c r="W8" s="170" t="s">
        <v>190</v>
      </c>
    </row>
    <row r="9" spans="1:28" ht="15" customHeight="1" thickBot="1">
      <c r="G9" s="54" t="s">
        <v>157</v>
      </c>
      <c r="L9" s="54" t="s">
        <v>158</v>
      </c>
      <c r="P9" s="226"/>
      <c r="Q9" s="226"/>
      <c r="R9" s="226"/>
      <c r="S9" s="226"/>
      <c r="T9" s="226"/>
      <c r="U9" s="226"/>
      <c r="W9" s="83" t="s">
        <v>191</v>
      </c>
    </row>
    <row r="10" spans="1:28" ht="15" customHeight="1">
      <c r="A10" s="237" t="s">
        <v>71</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146"/>
    </row>
    <row r="11" spans="1:28" ht="15" customHeight="1">
      <c r="A11" s="238"/>
      <c r="B11" s="239"/>
      <c r="C11" s="240"/>
      <c r="D11" s="241"/>
      <c r="E11" s="148">
        <v>1</v>
      </c>
      <c r="F11" s="149">
        <v>2</v>
      </c>
      <c r="G11" s="149">
        <v>3</v>
      </c>
      <c r="H11" s="149">
        <v>4</v>
      </c>
      <c r="I11" s="149">
        <v>5</v>
      </c>
      <c r="J11" s="149">
        <v>6</v>
      </c>
      <c r="K11" s="149">
        <v>7</v>
      </c>
      <c r="L11" s="149">
        <v>8</v>
      </c>
      <c r="M11" s="149">
        <v>9</v>
      </c>
      <c r="N11" s="149">
        <v>10</v>
      </c>
      <c r="O11" s="149">
        <v>11</v>
      </c>
      <c r="P11" s="149">
        <v>12</v>
      </c>
      <c r="Q11" s="149">
        <v>13</v>
      </c>
      <c r="R11" s="149">
        <v>14</v>
      </c>
      <c r="S11" s="149">
        <v>15</v>
      </c>
      <c r="T11" s="149">
        <v>16</v>
      </c>
      <c r="U11" s="149">
        <v>17</v>
      </c>
      <c r="V11" s="149">
        <v>18</v>
      </c>
      <c r="W11" s="151">
        <v>19</v>
      </c>
      <c r="X11" s="151">
        <v>20</v>
      </c>
      <c r="Y11" s="151">
        <v>21</v>
      </c>
      <c r="Z11" s="151">
        <v>22</v>
      </c>
      <c r="AA11" s="151">
        <v>23</v>
      </c>
      <c r="AB11" s="152">
        <v>24</v>
      </c>
    </row>
    <row r="12" spans="1:28" ht="15" customHeight="1" thickBot="1">
      <c r="A12" s="242" t="s">
        <v>159</v>
      </c>
      <c r="B12" s="243" t="s">
        <v>160</v>
      </c>
      <c r="C12" s="244"/>
      <c r="D12" s="245"/>
      <c r="E12" s="246">
        <v>0</v>
      </c>
      <c r="F12" s="247">
        <v>0</v>
      </c>
      <c r="G12" s="247">
        <v>0</v>
      </c>
      <c r="H12" s="247">
        <v>0</v>
      </c>
      <c r="I12" s="247">
        <v>7</v>
      </c>
      <c r="J12" s="247">
        <v>56</v>
      </c>
      <c r="K12" s="247">
        <v>120</v>
      </c>
      <c r="L12" s="247">
        <v>187</v>
      </c>
      <c r="M12" s="247">
        <v>247</v>
      </c>
      <c r="N12" s="247">
        <v>294</v>
      </c>
      <c r="O12" s="247">
        <v>321</v>
      </c>
      <c r="P12" s="247">
        <v>325</v>
      </c>
      <c r="Q12" s="247">
        <v>307</v>
      </c>
      <c r="R12" s="247">
        <v>272</v>
      </c>
      <c r="S12" s="247">
        <v>220</v>
      </c>
      <c r="T12" s="247">
        <v>158</v>
      </c>
      <c r="U12" s="247">
        <v>94</v>
      </c>
      <c r="V12" s="247">
        <v>24</v>
      </c>
      <c r="W12" s="247">
        <v>0</v>
      </c>
      <c r="X12" s="247">
        <v>0</v>
      </c>
      <c r="Y12" s="247">
        <v>0</v>
      </c>
      <c r="Z12" s="247">
        <v>0</v>
      </c>
      <c r="AA12" s="247">
        <v>0</v>
      </c>
      <c r="AB12" s="248">
        <v>0</v>
      </c>
    </row>
    <row r="13" spans="1:28" ht="15" customHeight="1" thickBot="1">
      <c r="A13" s="249" t="s">
        <v>161</v>
      </c>
      <c r="B13" s="250" t="s">
        <v>162</v>
      </c>
      <c r="C13" s="251"/>
      <c r="D13" s="252"/>
      <c r="E13" s="273">
        <v>0</v>
      </c>
      <c r="F13" s="274">
        <v>0</v>
      </c>
      <c r="G13" s="274">
        <v>0</v>
      </c>
      <c r="H13" s="274">
        <v>0</v>
      </c>
      <c r="I13" s="274">
        <v>3</v>
      </c>
      <c r="J13" s="274">
        <v>25</v>
      </c>
      <c r="K13" s="274">
        <v>49</v>
      </c>
      <c r="L13" s="274">
        <v>71</v>
      </c>
      <c r="M13" s="274">
        <v>86</v>
      </c>
      <c r="N13" s="274">
        <v>93</v>
      </c>
      <c r="O13" s="274">
        <v>95</v>
      </c>
      <c r="P13" s="274">
        <v>94</v>
      </c>
      <c r="Q13" s="274">
        <v>93</v>
      </c>
      <c r="R13" s="274">
        <v>90</v>
      </c>
      <c r="S13" s="274">
        <v>80</v>
      </c>
      <c r="T13" s="274">
        <v>63</v>
      </c>
      <c r="U13" s="274">
        <v>39</v>
      </c>
      <c r="V13" s="274">
        <v>12</v>
      </c>
      <c r="W13" s="274">
        <v>0</v>
      </c>
      <c r="X13" s="274">
        <v>0</v>
      </c>
      <c r="Y13" s="274">
        <v>0</v>
      </c>
      <c r="Z13" s="274">
        <v>0</v>
      </c>
      <c r="AA13" s="274">
        <v>0</v>
      </c>
      <c r="AB13" s="275">
        <v>0</v>
      </c>
    </row>
    <row r="14" spans="1:28" ht="15" customHeight="1" thickBot="1">
      <c r="A14" s="253" t="s">
        <v>72</v>
      </c>
      <c r="B14" s="250" t="s">
        <v>163</v>
      </c>
      <c r="C14" s="251"/>
      <c r="D14" s="252"/>
      <c r="E14" s="273">
        <v>0</v>
      </c>
      <c r="F14" s="274">
        <v>0</v>
      </c>
      <c r="G14" s="274">
        <v>0</v>
      </c>
      <c r="H14" s="274">
        <v>0</v>
      </c>
      <c r="I14" s="274">
        <v>6</v>
      </c>
      <c r="J14" s="274">
        <v>71</v>
      </c>
      <c r="K14" s="274">
        <v>180</v>
      </c>
      <c r="L14" s="274">
        <v>299</v>
      </c>
      <c r="M14" s="274">
        <v>415</v>
      </c>
      <c r="N14" s="274">
        <v>500</v>
      </c>
      <c r="O14" s="274">
        <v>555</v>
      </c>
      <c r="P14" s="274">
        <v>573</v>
      </c>
      <c r="Q14" s="274">
        <v>551</v>
      </c>
      <c r="R14" s="274">
        <v>483</v>
      </c>
      <c r="S14" s="274">
        <v>374</v>
      </c>
      <c r="T14" s="274">
        <v>246</v>
      </c>
      <c r="U14" s="274">
        <v>132</v>
      </c>
      <c r="V14" s="274">
        <v>27</v>
      </c>
      <c r="W14" s="274">
        <v>0</v>
      </c>
      <c r="X14" s="274">
        <v>0</v>
      </c>
      <c r="Y14" s="274">
        <v>0</v>
      </c>
      <c r="Z14" s="274">
        <v>0</v>
      </c>
      <c r="AA14" s="274">
        <v>0</v>
      </c>
      <c r="AB14" s="275">
        <v>0</v>
      </c>
    </row>
    <row r="15" spans="1:28" ht="15" customHeight="1">
      <c r="A15" s="254" t="s">
        <v>73</v>
      </c>
      <c r="B15" s="255" t="s">
        <v>164</v>
      </c>
      <c r="C15" s="256"/>
      <c r="D15" s="257"/>
      <c r="E15" s="276">
        <v>0</v>
      </c>
      <c r="F15" s="277">
        <v>0</v>
      </c>
      <c r="G15" s="277">
        <v>0</v>
      </c>
      <c r="H15" s="277">
        <v>0</v>
      </c>
      <c r="I15" s="277">
        <v>3</v>
      </c>
      <c r="J15" s="277">
        <v>4</v>
      </c>
      <c r="K15" s="277">
        <v>0</v>
      </c>
      <c r="L15" s="277">
        <v>0</v>
      </c>
      <c r="M15" s="277">
        <v>0</v>
      </c>
      <c r="N15" s="277">
        <v>0</v>
      </c>
      <c r="O15" s="277">
        <v>0</v>
      </c>
      <c r="P15" s="277">
        <v>0</v>
      </c>
      <c r="Q15" s="277">
        <v>0</v>
      </c>
      <c r="R15" s="277">
        <v>0</v>
      </c>
      <c r="S15" s="277">
        <v>0</v>
      </c>
      <c r="T15" s="277">
        <v>10</v>
      </c>
      <c r="U15" s="277">
        <v>32</v>
      </c>
      <c r="V15" s="277">
        <v>17</v>
      </c>
      <c r="W15" s="277">
        <v>0</v>
      </c>
      <c r="X15" s="277">
        <v>0</v>
      </c>
      <c r="Y15" s="277">
        <v>0</v>
      </c>
      <c r="Z15" s="277">
        <v>0</v>
      </c>
      <c r="AA15" s="277">
        <v>0</v>
      </c>
      <c r="AB15" s="278">
        <v>0</v>
      </c>
    </row>
    <row r="16" spans="1:28" ht="15" customHeight="1">
      <c r="A16" s="258"/>
      <c r="B16" s="259" t="s">
        <v>165</v>
      </c>
      <c r="C16" s="260"/>
      <c r="D16" s="261"/>
      <c r="E16" s="279">
        <v>1</v>
      </c>
      <c r="F16" s="280">
        <v>1</v>
      </c>
      <c r="G16" s="280">
        <v>1</v>
      </c>
      <c r="H16" s="280">
        <v>1</v>
      </c>
      <c r="I16" s="280">
        <v>1</v>
      </c>
      <c r="J16" s="280">
        <v>1</v>
      </c>
      <c r="K16" s="280">
        <v>1</v>
      </c>
      <c r="L16" s="280">
        <v>1</v>
      </c>
      <c r="M16" s="280">
        <v>1</v>
      </c>
      <c r="N16" s="280">
        <v>1</v>
      </c>
      <c r="O16" s="280">
        <v>1</v>
      </c>
      <c r="P16" s="280">
        <v>1</v>
      </c>
      <c r="Q16" s="280">
        <v>1</v>
      </c>
      <c r="R16" s="280">
        <v>1</v>
      </c>
      <c r="S16" s="280">
        <v>1</v>
      </c>
      <c r="T16" s="280">
        <v>1</v>
      </c>
      <c r="U16" s="280">
        <v>1</v>
      </c>
      <c r="V16" s="280">
        <v>1</v>
      </c>
      <c r="W16" s="280">
        <v>1</v>
      </c>
      <c r="X16" s="280">
        <v>1</v>
      </c>
      <c r="Y16" s="280">
        <v>1</v>
      </c>
      <c r="Z16" s="280">
        <v>1</v>
      </c>
      <c r="AA16" s="280">
        <v>1</v>
      </c>
      <c r="AB16" s="281">
        <v>1</v>
      </c>
    </row>
    <row r="17" spans="1:28" ht="15" customHeight="1" thickBot="1">
      <c r="A17" s="262"/>
      <c r="B17" s="263" t="s">
        <v>166</v>
      </c>
      <c r="C17" s="264"/>
      <c r="D17" s="265"/>
      <c r="E17" s="282">
        <v>0</v>
      </c>
      <c r="F17" s="283">
        <v>0</v>
      </c>
      <c r="G17" s="283">
        <v>0</v>
      </c>
      <c r="H17" s="283">
        <v>0</v>
      </c>
      <c r="I17" s="283">
        <v>6</v>
      </c>
      <c r="J17" s="283">
        <v>29</v>
      </c>
      <c r="K17" s="283">
        <v>49</v>
      </c>
      <c r="L17" s="283">
        <v>71</v>
      </c>
      <c r="M17" s="283">
        <v>86</v>
      </c>
      <c r="N17" s="283">
        <v>93</v>
      </c>
      <c r="O17" s="283">
        <v>95</v>
      </c>
      <c r="P17" s="283">
        <v>94</v>
      </c>
      <c r="Q17" s="283">
        <v>93</v>
      </c>
      <c r="R17" s="283">
        <v>90</v>
      </c>
      <c r="S17" s="283">
        <v>80</v>
      </c>
      <c r="T17" s="283">
        <v>73</v>
      </c>
      <c r="U17" s="283">
        <v>71</v>
      </c>
      <c r="V17" s="283">
        <v>29</v>
      </c>
      <c r="W17" s="283">
        <v>0</v>
      </c>
      <c r="X17" s="283">
        <v>0</v>
      </c>
      <c r="Y17" s="283">
        <v>0</v>
      </c>
      <c r="Z17" s="283">
        <v>0</v>
      </c>
      <c r="AA17" s="283">
        <v>0</v>
      </c>
      <c r="AB17" s="284">
        <v>0</v>
      </c>
    </row>
    <row r="18" spans="1:28" ht="15" customHeight="1">
      <c r="A18" s="254" t="s">
        <v>74</v>
      </c>
      <c r="B18" s="255" t="s">
        <v>164</v>
      </c>
      <c r="C18" s="256"/>
      <c r="D18" s="257"/>
      <c r="E18" s="276">
        <v>0</v>
      </c>
      <c r="F18" s="277">
        <v>0</v>
      </c>
      <c r="G18" s="277">
        <v>0</v>
      </c>
      <c r="H18" s="277">
        <v>0</v>
      </c>
      <c r="I18" s="277">
        <v>16</v>
      </c>
      <c r="J18" s="277">
        <v>129</v>
      </c>
      <c r="K18" s="277">
        <v>138</v>
      </c>
      <c r="L18" s="277">
        <v>126</v>
      </c>
      <c r="M18" s="277">
        <v>65</v>
      </c>
      <c r="N18" s="277">
        <v>6</v>
      </c>
      <c r="O18" s="277">
        <v>0</v>
      </c>
      <c r="P18" s="277">
        <v>0</v>
      </c>
      <c r="Q18" s="277">
        <v>0</v>
      </c>
      <c r="R18" s="277">
        <v>0</v>
      </c>
      <c r="S18" s="277">
        <v>0</v>
      </c>
      <c r="T18" s="277">
        <v>0</v>
      </c>
      <c r="U18" s="277">
        <v>0</v>
      </c>
      <c r="V18" s="277">
        <v>0</v>
      </c>
      <c r="W18" s="277">
        <v>0</v>
      </c>
      <c r="X18" s="277">
        <v>0</v>
      </c>
      <c r="Y18" s="277">
        <v>0</v>
      </c>
      <c r="Z18" s="277">
        <v>0</v>
      </c>
      <c r="AA18" s="277">
        <v>0</v>
      </c>
      <c r="AB18" s="278">
        <v>0</v>
      </c>
    </row>
    <row r="19" spans="1:28" ht="15" customHeight="1">
      <c r="A19" s="258"/>
      <c r="B19" s="259" t="s">
        <v>167</v>
      </c>
      <c r="C19" s="260"/>
      <c r="D19" s="261"/>
      <c r="E19" s="279">
        <v>1</v>
      </c>
      <c r="F19" s="280">
        <v>1</v>
      </c>
      <c r="G19" s="280">
        <v>1</v>
      </c>
      <c r="H19" s="280">
        <v>1</v>
      </c>
      <c r="I19" s="280">
        <v>1</v>
      </c>
      <c r="J19" s="280">
        <v>1</v>
      </c>
      <c r="K19" s="280">
        <v>1</v>
      </c>
      <c r="L19" s="280">
        <v>1</v>
      </c>
      <c r="M19" s="280">
        <v>1</v>
      </c>
      <c r="N19" s="280">
        <v>1</v>
      </c>
      <c r="O19" s="280">
        <v>1</v>
      </c>
      <c r="P19" s="280">
        <v>1</v>
      </c>
      <c r="Q19" s="280">
        <v>1</v>
      </c>
      <c r="R19" s="280">
        <v>1</v>
      </c>
      <c r="S19" s="280">
        <v>1</v>
      </c>
      <c r="T19" s="280">
        <v>1</v>
      </c>
      <c r="U19" s="280">
        <v>1</v>
      </c>
      <c r="V19" s="280">
        <v>1</v>
      </c>
      <c r="W19" s="280">
        <v>1</v>
      </c>
      <c r="X19" s="280">
        <v>1</v>
      </c>
      <c r="Y19" s="280">
        <v>1</v>
      </c>
      <c r="Z19" s="280">
        <v>1</v>
      </c>
      <c r="AA19" s="280">
        <v>1</v>
      </c>
      <c r="AB19" s="281">
        <v>1</v>
      </c>
    </row>
    <row r="20" spans="1:28" ht="15" customHeight="1" thickBot="1">
      <c r="A20" s="262"/>
      <c r="B20" s="263" t="s">
        <v>166</v>
      </c>
      <c r="C20" s="264"/>
      <c r="D20" s="265"/>
      <c r="E20" s="282">
        <v>0</v>
      </c>
      <c r="F20" s="283">
        <v>0</v>
      </c>
      <c r="G20" s="283">
        <v>0</v>
      </c>
      <c r="H20" s="283">
        <v>0</v>
      </c>
      <c r="I20" s="283">
        <v>19</v>
      </c>
      <c r="J20" s="283">
        <v>154</v>
      </c>
      <c r="K20" s="283">
        <v>187</v>
      </c>
      <c r="L20" s="283">
        <v>197</v>
      </c>
      <c r="M20" s="283">
        <v>151</v>
      </c>
      <c r="N20" s="283">
        <v>99</v>
      </c>
      <c r="O20" s="283">
        <v>95</v>
      </c>
      <c r="P20" s="283">
        <v>94</v>
      </c>
      <c r="Q20" s="283">
        <v>93</v>
      </c>
      <c r="R20" s="283">
        <v>90</v>
      </c>
      <c r="S20" s="283">
        <v>80</v>
      </c>
      <c r="T20" s="283">
        <v>63</v>
      </c>
      <c r="U20" s="283">
        <v>39</v>
      </c>
      <c r="V20" s="283">
        <v>12</v>
      </c>
      <c r="W20" s="283">
        <v>0</v>
      </c>
      <c r="X20" s="283">
        <v>0</v>
      </c>
      <c r="Y20" s="283">
        <v>0</v>
      </c>
      <c r="Z20" s="283">
        <v>0</v>
      </c>
      <c r="AA20" s="283">
        <v>0</v>
      </c>
      <c r="AB20" s="284">
        <v>0</v>
      </c>
    </row>
    <row r="21" spans="1:28" ht="15" customHeight="1">
      <c r="A21" s="254" t="s">
        <v>75</v>
      </c>
      <c r="B21" s="255" t="s">
        <v>164</v>
      </c>
      <c r="C21" s="256"/>
      <c r="D21" s="257"/>
      <c r="E21" s="276">
        <v>0</v>
      </c>
      <c r="F21" s="277">
        <v>0</v>
      </c>
      <c r="G21" s="277">
        <v>0</v>
      </c>
      <c r="H21" s="277">
        <v>0</v>
      </c>
      <c r="I21" s="277">
        <v>17</v>
      </c>
      <c r="J21" s="277">
        <v>164</v>
      </c>
      <c r="K21" s="277">
        <v>207</v>
      </c>
      <c r="L21" s="277">
        <v>242</v>
      </c>
      <c r="M21" s="277">
        <v>217</v>
      </c>
      <c r="N21" s="277">
        <v>137</v>
      </c>
      <c r="O21" s="277">
        <v>31</v>
      </c>
      <c r="P21" s="277">
        <v>0</v>
      </c>
      <c r="Q21" s="277">
        <v>0</v>
      </c>
      <c r="R21" s="277">
        <v>0</v>
      </c>
      <c r="S21" s="277">
        <v>0</v>
      </c>
      <c r="T21" s="277">
        <v>0</v>
      </c>
      <c r="U21" s="277">
        <v>0</v>
      </c>
      <c r="V21" s="277">
        <v>0</v>
      </c>
      <c r="W21" s="277">
        <v>0</v>
      </c>
      <c r="X21" s="277">
        <v>0</v>
      </c>
      <c r="Y21" s="277">
        <v>0</v>
      </c>
      <c r="Z21" s="277">
        <v>0</v>
      </c>
      <c r="AA21" s="277">
        <v>0</v>
      </c>
      <c r="AB21" s="278">
        <v>0</v>
      </c>
    </row>
    <row r="22" spans="1:28" ht="15" customHeight="1">
      <c r="A22" s="258"/>
      <c r="B22" s="259" t="s">
        <v>168</v>
      </c>
      <c r="C22" s="260"/>
      <c r="D22" s="261"/>
      <c r="E22" s="279">
        <v>1</v>
      </c>
      <c r="F22" s="280">
        <v>1</v>
      </c>
      <c r="G22" s="280">
        <v>1</v>
      </c>
      <c r="H22" s="280">
        <v>1</v>
      </c>
      <c r="I22" s="280">
        <v>1</v>
      </c>
      <c r="J22" s="280">
        <v>1</v>
      </c>
      <c r="K22" s="280">
        <v>1</v>
      </c>
      <c r="L22" s="280">
        <v>1</v>
      </c>
      <c r="M22" s="280">
        <v>1</v>
      </c>
      <c r="N22" s="280">
        <v>1</v>
      </c>
      <c r="O22" s="280">
        <v>1</v>
      </c>
      <c r="P22" s="280">
        <v>1</v>
      </c>
      <c r="Q22" s="280">
        <v>1</v>
      </c>
      <c r="R22" s="280">
        <v>1</v>
      </c>
      <c r="S22" s="280">
        <v>1</v>
      </c>
      <c r="T22" s="280">
        <v>1</v>
      </c>
      <c r="U22" s="280">
        <v>1</v>
      </c>
      <c r="V22" s="280">
        <v>1</v>
      </c>
      <c r="W22" s="280">
        <v>1</v>
      </c>
      <c r="X22" s="280">
        <v>1</v>
      </c>
      <c r="Y22" s="280">
        <v>1</v>
      </c>
      <c r="Z22" s="280">
        <v>1</v>
      </c>
      <c r="AA22" s="280">
        <v>1</v>
      </c>
      <c r="AB22" s="281">
        <v>1</v>
      </c>
    </row>
    <row r="23" spans="1:28" ht="15" customHeight="1" thickBot="1">
      <c r="A23" s="262"/>
      <c r="B23" s="263" t="s">
        <v>166</v>
      </c>
      <c r="C23" s="264"/>
      <c r="D23" s="265"/>
      <c r="E23" s="282">
        <v>0</v>
      </c>
      <c r="F23" s="283">
        <v>0</v>
      </c>
      <c r="G23" s="283">
        <v>0</v>
      </c>
      <c r="H23" s="283">
        <v>0</v>
      </c>
      <c r="I23" s="283">
        <v>20</v>
      </c>
      <c r="J23" s="283">
        <v>189</v>
      </c>
      <c r="K23" s="283">
        <v>256</v>
      </c>
      <c r="L23" s="283">
        <v>313</v>
      </c>
      <c r="M23" s="283">
        <v>303</v>
      </c>
      <c r="N23" s="283">
        <v>230</v>
      </c>
      <c r="O23" s="283">
        <v>126</v>
      </c>
      <c r="P23" s="283">
        <v>94</v>
      </c>
      <c r="Q23" s="283">
        <v>93</v>
      </c>
      <c r="R23" s="283">
        <v>90</v>
      </c>
      <c r="S23" s="283">
        <v>80</v>
      </c>
      <c r="T23" s="283">
        <v>63</v>
      </c>
      <c r="U23" s="283">
        <v>39</v>
      </c>
      <c r="V23" s="283">
        <v>12</v>
      </c>
      <c r="W23" s="283">
        <v>0</v>
      </c>
      <c r="X23" s="283">
        <v>0</v>
      </c>
      <c r="Y23" s="283">
        <v>0</v>
      </c>
      <c r="Z23" s="283">
        <v>0</v>
      </c>
      <c r="AA23" s="283">
        <v>0</v>
      </c>
      <c r="AB23" s="284">
        <v>0</v>
      </c>
    </row>
    <row r="24" spans="1:28" ht="15" customHeight="1">
      <c r="A24" s="254" t="s">
        <v>76</v>
      </c>
      <c r="B24" s="255" t="s">
        <v>164</v>
      </c>
      <c r="C24" s="256"/>
      <c r="D24" s="257"/>
      <c r="E24" s="276">
        <v>0</v>
      </c>
      <c r="F24" s="277">
        <v>0</v>
      </c>
      <c r="G24" s="277">
        <v>0</v>
      </c>
      <c r="H24" s="277">
        <v>0</v>
      </c>
      <c r="I24" s="277">
        <v>8</v>
      </c>
      <c r="J24" s="277">
        <v>95</v>
      </c>
      <c r="K24" s="277">
        <v>142</v>
      </c>
      <c r="L24" s="277">
        <v>194</v>
      </c>
      <c r="M24" s="277">
        <v>208</v>
      </c>
      <c r="N24" s="277">
        <v>180</v>
      </c>
      <c r="O24" s="277">
        <v>113</v>
      </c>
      <c r="P24" s="277">
        <v>27</v>
      </c>
      <c r="Q24" s="277">
        <v>0</v>
      </c>
      <c r="R24" s="277">
        <v>0</v>
      </c>
      <c r="S24" s="277">
        <v>0</v>
      </c>
      <c r="T24" s="277">
        <v>0</v>
      </c>
      <c r="U24" s="277">
        <v>0</v>
      </c>
      <c r="V24" s="277">
        <v>0</v>
      </c>
      <c r="W24" s="277">
        <v>0</v>
      </c>
      <c r="X24" s="277">
        <v>0</v>
      </c>
      <c r="Y24" s="277">
        <v>0</v>
      </c>
      <c r="Z24" s="277">
        <v>0</v>
      </c>
      <c r="AA24" s="277">
        <v>0</v>
      </c>
      <c r="AB24" s="278">
        <v>0</v>
      </c>
    </row>
    <row r="25" spans="1:28" ht="15" customHeight="1">
      <c r="A25" s="258"/>
      <c r="B25" s="259" t="s">
        <v>169</v>
      </c>
      <c r="C25" s="260"/>
      <c r="D25" s="261"/>
      <c r="E25" s="279">
        <v>1</v>
      </c>
      <c r="F25" s="280">
        <v>1</v>
      </c>
      <c r="G25" s="280">
        <v>1</v>
      </c>
      <c r="H25" s="280">
        <v>1</v>
      </c>
      <c r="I25" s="280">
        <v>1</v>
      </c>
      <c r="J25" s="280">
        <v>1</v>
      </c>
      <c r="K25" s="280">
        <v>1</v>
      </c>
      <c r="L25" s="280">
        <v>1</v>
      </c>
      <c r="M25" s="280">
        <v>1</v>
      </c>
      <c r="N25" s="280">
        <v>1</v>
      </c>
      <c r="O25" s="280">
        <v>1</v>
      </c>
      <c r="P25" s="280">
        <v>1</v>
      </c>
      <c r="Q25" s="280">
        <v>1</v>
      </c>
      <c r="R25" s="280">
        <v>1</v>
      </c>
      <c r="S25" s="280">
        <v>1</v>
      </c>
      <c r="T25" s="280">
        <v>1</v>
      </c>
      <c r="U25" s="280">
        <v>1</v>
      </c>
      <c r="V25" s="280">
        <v>1</v>
      </c>
      <c r="W25" s="280">
        <v>1</v>
      </c>
      <c r="X25" s="280">
        <v>1</v>
      </c>
      <c r="Y25" s="280">
        <v>1</v>
      </c>
      <c r="Z25" s="280">
        <v>1</v>
      </c>
      <c r="AA25" s="280">
        <v>1</v>
      </c>
      <c r="AB25" s="281">
        <v>1</v>
      </c>
    </row>
    <row r="26" spans="1:28" ht="15" customHeight="1" thickBot="1">
      <c r="A26" s="262"/>
      <c r="B26" s="263" t="s">
        <v>166</v>
      </c>
      <c r="C26" s="264"/>
      <c r="D26" s="265"/>
      <c r="E26" s="282">
        <v>0</v>
      </c>
      <c r="F26" s="283">
        <v>0</v>
      </c>
      <c r="G26" s="283">
        <v>0</v>
      </c>
      <c r="H26" s="283">
        <v>0</v>
      </c>
      <c r="I26" s="283">
        <v>11</v>
      </c>
      <c r="J26" s="283">
        <v>120</v>
      </c>
      <c r="K26" s="283">
        <v>191</v>
      </c>
      <c r="L26" s="283">
        <v>265</v>
      </c>
      <c r="M26" s="283">
        <v>294</v>
      </c>
      <c r="N26" s="283">
        <v>273</v>
      </c>
      <c r="O26" s="283">
        <v>208</v>
      </c>
      <c r="P26" s="283">
        <v>121</v>
      </c>
      <c r="Q26" s="283">
        <v>93</v>
      </c>
      <c r="R26" s="283">
        <v>90</v>
      </c>
      <c r="S26" s="283">
        <v>80</v>
      </c>
      <c r="T26" s="283">
        <v>63</v>
      </c>
      <c r="U26" s="283">
        <v>39</v>
      </c>
      <c r="V26" s="283">
        <v>12</v>
      </c>
      <c r="W26" s="283">
        <v>0</v>
      </c>
      <c r="X26" s="283">
        <v>0</v>
      </c>
      <c r="Y26" s="283">
        <v>0</v>
      </c>
      <c r="Z26" s="283">
        <v>0</v>
      </c>
      <c r="AA26" s="283">
        <v>0</v>
      </c>
      <c r="AB26" s="284">
        <v>0</v>
      </c>
    </row>
    <row r="27" spans="1:28" ht="15" customHeight="1">
      <c r="A27" s="254" t="s">
        <v>77</v>
      </c>
      <c r="B27" s="255" t="s">
        <v>164</v>
      </c>
      <c r="C27" s="256"/>
      <c r="D27" s="257"/>
      <c r="E27" s="276">
        <v>0</v>
      </c>
      <c r="F27" s="277">
        <v>0</v>
      </c>
      <c r="G27" s="277">
        <v>0</v>
      </c>
      <c r="H27" s="277">
        <v>0</v>
      </c>
      <c r="I27" s="277">
        <v>0</v>
      </c>
      <c r="J27" s="277">
        <v>0</v>
      </c>
      <c r="K27" s="277">
        <v>0</v>
      </c>
      <c r="L27" s="277">
        <v>20</v>
      </c>
      <c r="M27" s="277">
        <v>54</v>
      </c>
      <c r="N27" s="277">
        <v>85</v>
      </c>
      <c r="O27" s="277">
        <v>102</v>
      </c>
      <c r="P27" s="277">
        <v>96</v>
      </c>
      <c r="Q27" s="277">
        <v>65</v>
      </c>
      <c r="R27" s="277">
        <v>25</v>
      </c>
      <c r="S27" s="277">
        <v>0</v>
      </c>
      <c r="T27" s="277">
        <v>0</v>
      </c>
      <c r="U27" s="277">
        <v>0</v>
      </c>
      <c r="V27" s="277">
        <v>0</v>
      </c>
      <c r="W27" s="277">
        <v>0</v>
      </c>
      <c r="X27" s="277">
        <v>0</v>
      </c>
      <c r="Y27" s="277">
        <v>0</v>
      </c>
      <c r="Z27" s="277">
        <v>0</v>
      </c>
      <c r="AA27" s="277">
        <v>0</v>
      </c>
      <c r="AB27" s="278">
        <v>0</v>
      </c>
    </row>
    <row r="28" spans="1:28" ht="15" customHeight="1">
      <c r="A28" s="258"/>
      <c r="B28" s="259" t="s">
        <v>170</v>
      </c>
      <c r="C28" s="260"/>
      <c r="D28" s="261"/>
      <c r="E28" s="279">
        <v>1</v>
      </c>
      <c r="F28" s="280">
        <v>1</v>
      </c>
      <c r="G28" s="280">
        <v>1</v>
      </c>
      <c r="H28" s="280">
        <v>1</v>
      </c>
      <c r="I28" s="280">
        <v>1</v>
      </c>
      <c r="J28" s="280">
        <v>1</v>
      </c>
      <c r="K28" s="280">
        <v>1</v>
      </c>
      <c r="L28" s="280">
        <v>1</v>
      </c>
      <c r="M28" s="280">
        <v>1</v>
      </c>
      <c r="N28" s="280">
        <v>1</v>
      </c>
      <c r="O28" s="280">
        <v>1</v>
      </c>
      <c r="P28" s="280">
        <v>1</v>
      </c>
      <c r="Q28" s="280">
        <v>1</v>
      </c>
      <c r="R28" s="280">
        <v>1</v>
      </c>
      <c r="S28" s="280">
        <v>1</v>
      </c>
      <c r="T28" s="280">
        <v>1</v>
      </c>
      <c r="U28" s="280">
        <v>1</v>
      </c>
      <c r="V28" s="280">
        <v>1</v>
      </c>
      <c r="W28" s="280">
        <v>1</v>
      </c>
      <c r="X28" s="280">
        <v>1</v>
      </c>
      <c r="Y28" s="280">
        <v>1</v>
      </c>
      <c r="Z28" s="280">
        <v>1</v>
      </c>
      <c r="AA28" s="280">
        <v>1</v>
      </c>
      <c r="AB28" s="281">
        <v>1</v>
      </c>
    </row>
    <row r="29" spans="1:28" ht="15" customHeight="1" thickBot="1">
      <c r="A29" s="262"/>
      <c r="B29" s="263" t="s">
        <v>166</v>
      </c>
      <c r="C29" s="264"/>
      <c r="D29" s="265"/>
      <c r="E29" s="282">
        <v>0</v>
      </c>
      <c r="F29" s="283">
        <v>0</v>
      </c>
      <c r="G29" s="283">
        <v>0</v>
      </c>
      <c r="H29" s="283">
        <v>0</v>
      </c>
      <c r="I29" s="283">
        <v>3</v>
      </c>
      <c r="J29" s="283">
        <v>25</v>
      </c>
      <c r="K29" s="283">
        <v>49</v>
      </c>
      <c r="L29" s="283">
        <v>91</v>
      </c>
      <c r="M29" s="283">
        <v>140</v>
      </c>
      <c r="N29" s="283">
        <v>178</v>
      </c>
      <c r="O29" s="283">
        <v>197</v>
      </c>
      <c r="P29" s="283">
        <v>190</v>
      </c>
      <c r="Q29" s="283">
        <v>158</v>
      </c>
      <c r="R29" s="283">
        <v>115</v>
      </c>
      <c r="S29" s="283">
        <v>80</v>
      </c>
      <c r="T29" s="283">
        <v>63</v>
      </c>
      <c r="U29" s="283">
        <v>39</v>
      </c>
      <c r="V29" s="283">
        <v>12</v>
      </c>
      <c r="W29" s="283">
        <v>0</v>
      </c>
      <c r="X29" s="283">
        <v>0</v>
      </c>
      <c r="Y29" s="283">
        <v>0</v>
      </c>
      <c r="Z29" s="283">
        <v>0</v>
      </c>
      <c r="AA29" s="283">
        <v>0</v>
      </c>
      <c r="AB29" s="284">
        <v>0</v>
      </c>
    </row>
    <row r="30" spans="1:28" ht="15" customHeight="1">
      <c r="A30" s="254" t="s">
        <v>78</v>
      </c>
      <c r="B30" s="255" t="s">
        <v>164</v>
      </c>
      <c r="C30" s="256"/>
      <c r="D30" s="257"/>
      <c r="E30" s="276">
        <v>0</v>
      </c>
      <c r="F30" s="277">
        <v>0</v>
      </c>
      <c r="G30" s="277">
        <v>0</v>
      </c>
      <c r="H30" s="277">
        <v>0</v>
      </c>
      <c r="I30" s="277">
        <v>0</v>
      </c>
      <c r="J30" s="277">
        <v>0</v>
      </c>
      <c r="K30" s="277">
        <v>0</v>
      </c>
      <c r="L30" s="277">
        <v>0</v>
      </c>
      <c r="M30" s="277">
        <v>0</v>
      </c>
      <c r="N30" s="277">
        <v>0</v>
      </c>
      <c r="O30" s="277">
        <v>17</v>
      </c>
      <c r="P30" s="277">
        <v>84</v>
      </c>
      <c r="Q30" s="277">
        <v>150</v>
      </c>
      <c r="R30" s="277">
        <v>185</v>
      </c>
      <c r="S30" s="277">
        <v>178</v>
      </c>
      <c r="T30" s="277">
        <v>139</v>
      </c>
      <c r="U30" s="277">
        <v>84</v>
      </c>
      <c r="V30" s="277">
        <v>15</v>
      </c>
      <c r="W30" s="277">
        <v>0</v>
      </c>
      <c r="X30" s="277">
        <v>0</v>
      </c>
      <c r="Y30" s="277">
        <v>0</v>
      </c>
      <c r="Z30" s="277">
        <v>0</v>
      </c>
      <c r="AA30" s="277">
        <v>0</v>
      </c>
      <c r="AB30" s="278">
        <v>0</v>
      </c>
    </row>
    <row r="31" spans="1:28" ht="15" customHeight="1">
      <c r="A31" s="258"/>
      <c r="B31" s="259" t="s">
        <v>171</v>
      </c>
      <c r="C31" s="260"/>
      <c r="D31" s="261"/>
      <c r="E31" s="279">
        <v>1</v>
      </c>
      <c r="F31" s="280">
        <v>1</v>
      </c>
      <c r="G31" s="280">
        <v>1</v>
      </c>
      <c r="H31" s="280">
        <v>1</v>
      </c>
      <c r="I31" s="280">
        <v>1</v>
      </c>
      <c r="J31" s="280">
        <v>1</v>
      </c>
      <c r="K31" s="280">
        <v>1</v>
      </c>
      <c r="L31" s="280">
        <v>1</v>
      </c>
      <c r="M31" s="280">
        <v>1</v>
      </c>
      <c r="N31" s="280">
        <v>1</v>
      </c>
      <c r="O31" s="280">
        <v>1</v>
      </c>
      <c r="P31" s="280">
        <v>1</v>
      </c>
      <c r="Q31" s="280">
        <v>1</v>
      </c>
      <c r="R31" s="280">
        <v>1</v>
      </c>
      <c r="S31" s="280">
        <v>1</v>
      </c>
      <c r="T31" s="280">
        <v>1</v>
      </c>
      <c r="U31" s="280">
        <v>1</v>
      </c>
      <c r="V31" s="280">
        <v>1</v>
      </c>
      <c r="W31" s="280">
        <v>1</v>
      </c>
      <c r="X31" s="280">
        <v>1</v>
      </c>
      <c r="Y31" s="280">
        <v>1</v>
      </c>
      <c r="Z31" s="280">
        <v>1</v>
      </c>
      <c r="AA31" s="280">
        <v>1</v>
      </c>
      <c r="AB31" s="281">
        <v>1</v>
      </c>
    </row>
    <row r="32" spans="1:28" ht="15" customHeight="1" thickBot="1">
      <c r="A32" s="262"/>
      <c r="B32" s="263" t="s">
        <v>166</v>
      </c>
      <c r="C32" s="264"/>
      <c r="D32" s="265"/>
      <c r="E32" s="282">
        <v>0</v>
      </c>
      <c r="F32" s="283">
        <v>0</v>
      </c>
      <c r="G32" s="283">
        <v>0</v>
      </c>
      <c r="H32" s="283">
        <v>0</v>
      </c>
      <c r="I32" s="283">
        <v>3</v>
      </c>
      <c r="J32" s="283">
        <v>25</v>
      </c>
      <c r="K32" s="283">
        <v>49</v>
      </c>
      <c r="L32" s="283">
        <v>71</v>
      </c>
      <c r="M32" s="283">
        <v>86</v>
      </c>
      <c r="N32" s="283">
        <v>93</v>
      </c>
      <c r="O32" s="283">
        <v>112</v>
      </c>
      <c r="P32" s="283">
        <v>178</v>
      </c>
      <c r="Q32" s="283">
        <v>243</v>
      </c>
      <c r="R32" s="283">
        <v>275</v>
      </c>
      <c r="S32" s="283">
        <v>258</v>
      </c>
      <c r="T32" s="283">
        <v>202</v>
      </c>
      <c r="U32" s="283">
        <v>123</v>
      </c>
      <c r="V32" s="283">
        <v>27</v>
      </c>
      <c r="W32" s="283">
        <v>0</v>
      </c>
      <c r="X32" s="283">
        <v>0</v>
      </c>
      <c r="Y32" s="283">
        <v>0</v>
      </c>
      <c r="Z32" s="283">
        <v>0</v>
      </c>
      <c r="AA32" s="283">
        <v>0</v>
      </c>
      <c r="AB32" s="284">
        <v>0</v>
      </c>
    </row>
    <row r="33" spans="1:28" ht="15" customHeight="1">
      <c r="A33" s="254" t="s">
        <v>79</v>
      </c>
      <c r="B33" s="255" t="s">
        <v>164</v>
      </c>
      <c r="C33" s="256"/>
      <c r="D33" s="257"/>
      <c r="E33" s="276">
        <v>0</v>
      </c>
      <c r="F33" s="277">
        <v>0</v>
      </c>
      <c r="G33" s="277">
        <v>0</v>
      </c>
      <c r="H33" s="277">
        <v>0</v>
      </c>
      <c r="I33" s="277">
        <v>0</v>
      </c>
      <c r="J33" s="277">
        <v>0</v>
      </c>
      <c r="K33" s="277">
        <v>0</v>
      </c>
      <c r="L33" s="277">
        <v>0</v>
      </c>
      <c r="M33" s="277">
        <v>0</v>
      </c>
      <c r="N33" s="277">
        <v>0</v>
      </c>
      <c r="O33" s="277">
        <v>0</v>
      </c>
      <c r="P33" s="277">
        <v>12</v>
      </c>
      <c r="Q33" s="277">
        <v>112</v>
      </c>
      <c r="R33" s="277">
        <v>209</v>
      </c>
      <c r="S33" s="277">
        <v>251</v>
      </c>
      <c r="T33" s="277">
        <v>239</v>
      </c>
      <c r="U33" s="277">
        <v>183</v>
      </c>
      <c r="V33" s="277">
        <v>48</v>
      </c>
      <c r="W33" s="277">
        <v>0</v>
      </c>
      <c r="X33" s="277">
        <v>0</v>
      </c>
      <c r="Y33" s="277">
        <v>0</v>
      </c>
      <c r="Z33" s="277">
        <v>0</v>
      </c>
      <c r="AA33" s="277">
        <v>0</v>
      </c>
      <c r="AB33" s="278">
        <v>0</v>
      </c>
    </row>
    <row r="34" spans="1:28" ht="15" customHeight="1">
      <c r="A34" s="258"/>
      <c r="B34" s="259" t="s">
        <v>165</v>
      </c>
      <c r="C34" s="260"/>
      <c r="D34" s="261"/>
      <c r="E34" s="279">
        <v>1</v>
      </c>
      <c r="F34" s="280">
        <v>1</v>
      </c>
      <c r="G34" s="280">
        <v>1</v>
      </c>
      <c r="H34" s="280">
        <v>1</v>
      </c>
      <c r="I34" s="280">
        <v>1</v>
      </c>
      <c r="J34" s="280">
        <v>1</v>
      </c>
      <c r="K34" s="280">
        <v>1</v>
      </c>
      <c r="L34" s="280">
        <v>1</v>
      </c>
      <c r="M34" s="280">
        <v>1</v>
      </c>
      <c r="N34" s="280">
        <v>1</v>
      </c>
      <c r="O34" s="280">
        <v>1</v>
      </c>
      <c r="P34" s="280">
        <v>1</v>
      </c>
      <c r="Q34" s="280">
        <v>1</v>
      </c>
      <c r="R34" s="280">
        <v>1</v>
      </c>
      <c r="S34" s="280">
        <v>1</v>
      </c>
      <c r="T34" s="280">
        <v>1</v>
      </c>
      <c r="U34" s="280">
        <v>1</v>
      </c>
      <c r="V34" s="280">
        <v>1</v>
      </c>
      <c r="W34" s="280">
        <v>1</v>
      </c>
      <c r="X34" s="280">
        <v>1</v>
      </c>
      <c r="Y34" s="280">
        <v>1</v>
      </c>
      <c r="Z34" s="280">
        <v>1</v>
      </c>
      <c r="AA34" s="280">
        <v>1</v>
      </c>
      <c r="AB34" s="281">
        <v>1</v>
      </c>
    </row>
    <row r="35" spans="1:28" ht="15" customHeight="1" thickBot="1">
      <c r="A35" s="262"/>
      <c r="B35" s="263" t="s">
        <v>166</v>
      </c>
      <c r="C35" s="264"/>
      <c r="D35" s="265"/>
      <c r="E35" s="282">
        <v>0</v>
      </c>
      <c r="F35" s="283">
        <v>0</v>
      </c>
      <c r="G35" s="283">
        <v>0</v>
      </c>
      <c r="H35" s="283">
        <v>0</v>
      </c>
      <c r="I35" s="283">
        <v>3</v>
      </c>
      <c r="J35" s="283">
        <v>25</v>
      </c>
      <c r="K35" s="283">
        <v>49</v>
      </c>
      <c r="L35" s="283">
        <v>71</v>
      </c>
      <c r="M35" s="283">
        <v>86</v>
      </c>
      <c r="N35" s="283">
        <v>93</v>
      </c>
      <c r="O35" s="283">
        <v>95</v>
      </c>
      <c r="P35" s="283">
        <v>106</v>
      </c>
      <c r="Q35" s="283">
        <v>205</v>
      </c>
      <c r="R35" s="283">
        <v>299</v>
      </c>
      <c r="S35" s="283">
        <v>331</v>
      </c>
      <c r="T35" s="283">
        <v>302</v>
      </c>
      <c r="U35" s="283">
        <v>222</v>
      </c>
      <c r="V35" s="283">
        <v>60</v>
      </c>
      <c r="W35" s="283">
        <v>0</v>
      </c>
      <c r="X35" s="283">
        <v>0</v>
      </c>
      <c r="Y35" s="283">
        <v>0</v>
      </c>
      <c r="Z35" s="283">
        <v>0</v>
      </c>
      <c r="AA35" s="283">
        <v>0</v>
      </c>
      <c r="AB35" s="284">
        <v>0</v>
      </c>
    </row>
    <row r="36" spans="1:28" ht="15" customHeight="1">
      <c r="A36" s="266" t="s">
        <v>80</v>
      </c>
      <c r="B36" s="255" t="s">
        <v>164</v>
      </c>
      <c r="C36" s="256"/>
      <c r="D36" s="257"/>
      <c r="E36" s="276">
        <v>0</v>
      </c>
      <c r="F36" s="277">
        <v>0</v>
      </c>
      <c r="G36" s="277">
        <v>0</v>
      </c>
      <c r="H36" s="277">
        <v>0</v>
      </c>
      <c r="I36" s="277">
        <v>0</v>
      </c>
      <c r="J36" s="277">
        <v>0</v>
      </c>
      <c r="K36" s="277">
        <v>0</v>
      </c>
      <c r="L36" s="277">
        <v>0</v>
      </c>
      <c r="M36" s="277">
        <v>0</v>
      </c>
      <c r="N36" s="277">
        <v>0</v>
      </c>
      <c r="O36" s="277">
        <v>0</v>
      </c>
      <c r="P36" s="277">
        <v>0</v>
      </c>
      <c r="Q36" s="277">
        <v>6</v>
      </c>
      <c r="R36" s="277">
        <v>81</v>
      </c>
      <c r="S36" s="277">
        <v>154</v>
      </c>
      <c r="T36" s="277">
        <v>180</v>
      </c>
      <c r="U36" s="277">
        <v>159</v>
      </c>
      <c r="V36" s="277">
        <v>48</v>
      </c>
      <c r="W36" s="277">
        <v>0</v>
      </c>
      <c r="X36" s="277">
        <v>0</v>
      </c>
      <c r="Y36" s="277">
        <v>0</v>
      </c>
      <c r="Z36" s="277">
        <v>0</v>
      </c>
      <c r="AA36" s="277">
        <v>0</v>
      </c>
      <c r="AB36" s="278">
        <v>0</v>
      </c>
    </row>
    <row r="37" spans="1:28" ht="15" customHeight="1">
      <c r="A37" s="267"/>
      <c r="B37" s="259" t="s">
        <v>172</v>
      </c>
      <c r="C37" s="260"/>
      <c r="D37" s="261"/>
      <c r="E37" s="279">
        <v>1</v>
      </c>
      <c r="F37" s="280">
        <v>1</v>
      </c>
      <c r="G37" s="280">
        <v>1</v>
      </c>
      <c r="H37" s="280">
        <v>1</v>
      </c>
      <c r="I37" s="280">
        <v>1</v>
      </c>
      <c r="J37" s="280">
        <v>1</v>
      </c>
      <c r="K37" s="280">
        <v>1</v>
      </c>
      <c r="L37" s="280">
        <v>1</v>
      </c>
      <c r="M37" s="280">
        <v>1</v>
      </c>
      <c r="N37" s="280">
        <v>1</v>
      </c>
      <c r="O37" s="280">
        <v>1</v>
      </c>
      <c r="P37" s="280">
        <v>1</v>
      </c>
      <c r="Q37" s="280">
        <v>1</v>
      </c>
      <c r="R37" s="280">
        <v>1</v>
      </c>
      <c r="S37" s="280">
        <v>1</v>
      </c>
      <c r="T37" s="280">
        <v>1</v>
      </c>
      <c r="U37" s="280">
        <v>1</v>
      </c>
      <c r="V37" s="280">
        <v>1</v>
      </c>
      <c r="W37" s="280">
        <v>1</v>
      </c>
      <c r="X37" s="280">
        <v>1</v>
      </c>
      <c r="Y37" s="280">
        <v>1</v>
      </c>
      <c r="Z37" s="280">
        <v>1</v>
      </c>
      <c r="AA37" s="280">
        <v>1</v>
      </c>
      <c r="AB37" s="281">
        <v>1</v>
      </c>
    </row>
    <row r="38" spans="1:28" ht="15" customHeight="1" thickBot="1">
      <c r="A38" s="268"/>
      <c r="B38" s="263" t="s">
        <v>166</v>
      </c>
      <c r="C38" s="264"/>
      <c r="D38" s="265"/>
      <c r="E38" s="282">
        <v>0</v>
      </c>
      <c r="F38" s="283">
        <v>0</v>
      </c>
      <c r="G38" s="283">
        <v>0</v>
      </c>
      <c r="H38" s="283">
        <v>0</v>
      </c>
      <c r="I38" s="283">
        <v>3</v>
      </c>
      <c r="J38" s="283">
        <v>25</v>
      </c>
      <c r="K38" s="283">
        <v>49</v>
      </c>
      <c r="L38" s="283">
        <v>71</v>
      </c>
      <c r="M38" s="283">
        <v>86</v>
      </c>
      <c r="N38" s="283">
        <v>93</v>
      </c>
      <c r="O38" s="283">
        <v>95</v>
      </c>
      <c r="P38" s="283">
        <v>94</v>
      </c>
      <c r="Q38" s="283">
        <v>99</v>
      </c>
      <c r="R38" s="283">
        <v>171</v>
      </c>
      <c r="S38" s="283">
        <v>234</v>
      </c>
      <c r="T38" s="283">
        <v>243</v>
      </c>
      <c r="U38" s="283">
        <v>198</v>
      </c>
      <c r="V38" s="283">
        <v>60</v>
      </c>
      <c r="W38" s="283">
        <v>0</v>
      </c>
      <c r="X38" s="283">
        <v>0</v>
      </c>
      <c r="Y38" s="283">
        <v>0</v>
      </c>
      <c r="Z38" s="283">
        <v>0</v>
      </c>
      <c r="AA38" s="283">
        <v>0</v>
      </c>
      <c r="AB38" s="284">
        <v>0</v>
      </c>
    </row>
    <row r="39" spans="1:28" ht="15" customHeight="1">
      <c r="A39" s="269" t="s">
        <v>173</v>
      </c>
      <c r="AB39" s="146"/>
    </row>
    <row r="40" spans="1:28" ht="15" customHeight="1">
      <c r="A40" s="238"/>
      <c r="B40" s="239"/>
      <c r="C40" s="240"/>
      <c r="D40" s="241"/>
      <c r="E40" s="148">
        <v>1</v>
      </c>
      <c r="F40" s="149">
        <v>2</v>
      </c>
      <c r="G40" s="149">
        <v>3</v>
      </c>
      <c r="H40" s="149">
        <v>4</v>
      </c>
      <c r="I40" s="149">
        <v>5</v>
      </c>
      <c r="J40" s="149">
        <v>6</v>
      </c>
      <c r="K40" s="149">
        <v>7</v>
      </c>
      <c r="L40" s="149">
        <v>8</v>
      </c>
      <c r="M40" s="149">
        <v>9</v>
      </c>
      <c r="N40" s="149">
        <v>10</v>
      </c>
      <c r="O40" s="149">
        <v>11</v>
      </c>
      <c r="P40" s="149">
        <v>12</v>
      </c>
      <c r="Q40" s="149">
        <v>13</v>
      </c>
      <c r="R40" s="149">
        <v>14</v>
      </c>
      <c r="S40" s="149">
        <v>15</v>
      </c>
      <c r="T40" s="149">
        <v>16</v>
      </c>
      <c r="U40" s="149">
        <v>17</v>
      </c>
      <c r="V40" s="149">
        <v>18</v>
      </c>
      <c r="W40" s="151">
        <v>19</v>
      </c>
      <c r="X40" s="151">
        <v>20</v>
      </c>
      <c r="Y40" s="151">
        <v>21</v>
      </c>
      <c r="Z40" s="151">
        <v>22</v>
      </c>
      <c r="AA40" s="151">
        <v>23</v>
      </c>
      <c r="AB40" s="152">
        <v>24</v>
      </c>
    </row>
    <row r="41" spans="1:28" ht="15" customHeight="1" thickBot="1">
      <c r="A41" s="242" t="s">
        <v>174</v>
      </c>
      <c r="B41" s="243" t="s">
        <v>160</v>
      </c>
      <c r="C41" s="244"/>
      <c r="D41" s="245"/>
      <c r="E41" s="247">
        <v>0</v>
      </c>
      <c r="F41" s="247">
        <v>0</v>
      </c>
      <c r="G41" s="247">
        <v>0</v>
      </c>
      <c r="H41" s="247">
        <v>0</v>
      </c>
      <c r="I41" s="247">
        <v>9</v>
      </c>
      <c r="J41" s="247">
        <v>56</v>
      </c>
      <c r="K41" s="247">
        <v>96</v>
      </c>
      <c r="L41" s="247">
        <v>134</v>
      </c>
      <c r="M41" s="247">
        <v>174</v>
      </c>
      <c r="N41" s="247">
        <v>205</v>
      </c>
      <c r="O41" s="247">
        <v>225</v>
      </c>
      <c r="P41" s="247">
        <v>227</v>
      </c>
      <c r="Q41" s="247">
        <v>218</v>
      </c>
      <c r="R41" s="247">
        <v>194</v>
      </c>
      <c r="S41" s="247">
        <v>160</v>
      </c>
      <c r="T41" s="247">
        <v>122</v>
      </c>
      <c r="U41" s="247">
        <v>80</v>
      </c>
      <c r="V41" s="247">
        <v>33</v>
      </c>
      <c r="W41" s="247">
        <v>2</v>
      </c>
      <c r="X41" s="247">
        <v>0</v>
      </c>
      <c r="Y41" s="247">
        <v>0</v>
      </c>
      <c r="Z41" s="247">
        <v>0</v>
      </c>
      <c r="AA41" s="247">
        <v>0</v>
      </c>
      <c r="AB41" s="248">
        <v>0</v>
      </c>
    </row>
    <row r="42" spans="1:28" ht="15" customHeight="1" thickBot="1">
      <c r="A42" s="249" t="s">
        <v>175</v>
      </c>
      <c r="B42" s="250" t="s">
        <v>162</v>
      </c>
      <c r="C42" s="251"/>
      <c r="D42" s="252"/>
      <c r="E42" s="274">
        <v>0</v>
      </c>
      <c r="F42" s="274">
        <v>0</v>
      </c>
      <c r="G42" s="274">
        <v>0</v>
      </c>
      <c r="H42" s="274">
        <v>0</v>
      </c>
      <c r="I42" s="274">
        <v>5</v>
      </c>
      <c r="J42" s="274">
        <v>27</v>
      </c>
      <c r="K42" s="274">
        <v>43</v>
      </c>
      <c r="L42" s="274">
        <v>57</v>
      </c>
      <c r="M42" s="274">
        <v>64</v>
      </c>
      <c r="N42" s="274">
        <v>64</v>
      </c>
      <c r="O42" s="274">
        <v>61</v>
      </c>
      <c r="P42" s="274">
        <v>59</v>
      </c>
      <c r="Q42" s="274">
        <v>63</v>
      </c>
      <c r="R42" s="274">
        <v>65</v>
      </c>
      <c r="S42" s="274">
        <v>63</v>
      </c>
      <c r="T42" s="274">
        <v>51</v>
      </c>
      <c r="U42" s="274">
        <v>37</v>
      </c>
      <c r="V42" s="274">
        <v>17</v>
      </c>
      <c r="W42" s="274">
        <v>2</v>
      </c>
      <c r="X42" s="274">
        <v>0</v>
      </c>
      <c r="Y42" s="274">
        <v>0</v>
      </c>
      <c r="Z42" s="274">
        <v>0</v>
      </c>
      <c r="AA42" s="274">
        <v>0</v>
      </c>
      <c r="AB42" s="275">
        <v>0</v>
      </c>
    </row>
    <row r="43" spans="1:28" ht="15" customHeight="1" thickBot="1">
      <c r="A43" s="253" t="s">
        <v>72</v>
      </c>
      <c r="B43" s="250" t="s">
        <v>163</v>
      </c>
      <c r="C43" s="251"/>
      <c r="D43" s="252"/>
      <c r="E43" s="274">
        <v>0</v>
      </c>
      <c r="F43" s="274">
        <v>0</v>
      </c>
      <c r="G43" s="274">
        <v>0</v>
      </c>
      <c r="H43" s="274">
        <v>0</v>
      </c>
      <c r="I43" s="274">
        <v>9</v>
      </c>
      <c r="J43" s="274">
        <v>96</v>
      </c>
      <c r="K43" s="274">
        <v>250</v>
      </c>
      <c r="L43" s="274">
        <v>410</v>
      </c>
      <c r="M43" s="274">
        <v>547</v>
      </c>
      <c r="N43" s="274">
        <v>649</v>
      </c>
      <c r="O43" s="274">
        <v>709</v>
      </c>
      <c r="P43" s="274">
        <v>724</v>
      </c>
      <c r="Q43" s="274">
        <v>690</v>
      </c>
      <c r="R43" s="274">
        <v>608</v>
      </c>
      <c r="S43" s="274">
        <v>490</v>
      </c>
      <c r="T43" s="274">
        <v>338</v>
      </c>
      <c r="U43" s="274">
        <v>179</v>
      </c>
      <c r="V43" s="274">
        <v>44</v>
      </c>
      <c r="W43" s="274">
        <v>2</v>
      </c>
      <c r="X43" s="274">
        <v>0</v>
      </c>
      <c r="Y43" s="274">
        <v>0</v>
      </c>
      <c r="Z43" s="274">
        <v>0</v>
      </c>
      <c r="AA43" s="274">
        <v>0</v>
      </c>
      <c r="AB43" s="275">
        <v>0</v>
      </c>
    </row>
    <row r="44" spans="1:28" ht="15" customHeight="1">
      <c r="A44" s="254" t="s">
        <v>73</v>
      </c>
      <c r="B44" s="255" t="s">
        <v>164</v>
      </c>
      <c r="C44" s="256"/>
      <c r="D44" s="257"/>
      <c r="E44" s="277">
        <v>0</v>
      </c>
      <c r="F44" s="277">
        <v>0</v>
      </c>
      <c r="G44" s="277">
        <v>0</v>
      </c>
      <c r="H44" s="277">
        <v>0</v>
      </c>
      <c r="I44" s="277">
        <v>12</v>
      </c>
      <c r="J44" s="277">
        <v>9</v>
      </c>
      <c r="K44" s="277">
        <v>0</v>
      </c>
      <c r="L44" s="277">
        <v>0</v>
      </c>
      <c r="M44" s="277">
        <v>0</v>
      </c>
      <c r="N44" s="277">
        <v>0</v>
      </c>
      <c r="O44" s="277">
        <v>0</v>
      </c>
      <c r="P44" s="277">
        <v>0</v>
      </c>
      <c r="Q44" s="277">
        <v>0</v>
      </c>
      <c r="R44" s="277">
        <v>0</v>
      </c>
      <c r="S44" s="277">
        <v>0</v>
      </c>
      <c r="T44" s="277">
        <v>19</v>
      </c>
      <c r="U44" s="277">
        <v>74</v>
      </c>
      <c r="V44" s="277">
        <v>76</v>
      </c>
      <c r="W44" s="277">
        <v>0</v>
      </c>
      <c r="X44" s="277">
        <v>0</v>
      </c>
      <c r="Y44" s="277">
        <v>0</v>
      </c>
      <c r="Z44" s="277">
        <v>0</v>
      </c>
      <c r="AA44" s="277">
        <v>0</v>
      </c>
      <c r="AB44" s="278">
        <v>0</v>
      </c>
    </row>
    <row r="45" spans="1:28" ht="15" customHeight="1">
      <c r="A45" s="258"/>
      <c r="B45" s="259" t="s">
        <v>169</v>
      </c>
      <c r="C45" s="260"/>
      <c r="D45" s="261"/>
      <c r="E45" s="280">
        <v>1</v>
      </c>
      <c r="F45" s="280">
        <v>1</v>
      </c>
      <c r="G45" s="280">
        <v>1</v>
      </c>
      <c r="H45" s="280">
        <v>1</v>
      </c>
      <c r="I45" s="280">
        <v>1</v>
      </c>
      <c r="J45" s="280">
        <v>1</v>
      </c>
      <c r="K45" s="280">
        <v>1</v>
      </c>
      <c r="L45" s="280">
        <v>1</v>
      </c>
      <c r="M45" s="280">
        <v>1</v>
      </c>
      <c r="N45" s="280">
        <v>1</v>
      </c>
      <c r="O45" s="280">
        <v>1</v>
      </c>
      <c r="P45" s="280">
        <v>1</v>
      </c>
      <c r="Q45" s="280">
        <v>1</v>
      </c>
      <c r="R45" s="280">
        <v>1</v>
      </c>
      <c r="S45" s="280">
        <v>1</v>
      </c>
      <c r="T45" s="280">
        <v>1</v>
      </c>
      <c r="U45" s="280">
        <v>1</v>
      </c>
      <c r="V45" s="280">
        <v>1</v>
      </c>
      <c r="W45" s="280">
        <v>1</v>
      </c>
      <c r="X45" s="280">
        <v>1</v>
      </c>
      <c r="Y45" s="280">
        <v>1</v>
      </c>
      <c r="Z45" s="280">
        <v>1</v>
      </c>
      <c r="AA45" s="280">
        <v>1</v>
      </c>
      <c r="AB45" s="281">
        <v>1</v>
      </c>
    </row>
    <row r="46" spans="1:28" ht="15" customHeight="1" thickBot="1">
      <c r="A46" s="262"/>
      <c r="B46" s="263" t="s">
        <v>166</v>
      </c>
      <c r="C46" s="264"/>
      <c r="D46" s="265"/>
      <c r="E46" s="283">
        <v>0</v>
      </c>
      <c r="F46" s="283">
        <v>0</v>
      </c>
      <c r="G46" s="283">
        <v>0</v>
      </c>
      <c r="H46" s="283">
        <v>0</v>
      </c>
      <c r="I46" s="283">
        <v>17</v>
      </c>
      <c r="J46" s="283">
        <v>36</v>
      </c>
      <c r="K46" s="283">
        <v>43</v>
      </c>
      <c r="L46" s="283">
        <v>57</v>
      </c>
      <c r="M46" s="283">
        <v>64</v>
      </c>
      <c r="N46" s="283">
        <v>64</v>
      </c>
      <c r="O46" s="283">
        <v>61</v>
      </c>
      <c r="P46" s="283">
        <v>59</v>
      </c>
      <c r="Q46" s="283">
        <v>63</v>
      </c>
      <c r="R46" s="283">
        <v>65</v>
      </c>
      <c r="S46" s="283">
        <v>63</v>
      </c>
      <c r="T46" s="283">
        <v>70</v>
      </c>
      <c r="U46" s="283">
        <v>111</v>
      </c>
      <c r="V46" s="283">
        <v>93</v>
      </c>
      <c r="W46" s="283">
        <v>2</v>
      </c>
      <c r="X46" s="283">
        <v>0</v>
      </c>
      <c r="Y46" s="283">
        <v>0</v>
      </c>
      <c r="Z46" s="283">
        <v>0</v>
      </c>
      <c r="AA46" s="283">
        <v>0</v>
      </c>
      <c r="AB46" s="284">
        <v>0</v>
      </c>
    </row>
    <row r="47" spans="1:28" ht="15" customHeight="1">
      <c r="A47" s="254" t="s">
        <v>74</v>
      </c>
      <c r="B47" s="255" t="s">
        <v>164</v>
      </c>
      <c r="C47" s="256"/>
      <c r="D47" s="257"/>
      <c r="E47" s="277">
        <v>0</v>
      </c>
      <c r="F47" s="277">
        <v>0</v>
      </c>
      <c r="G47" s="277">
        <v>0</v>
      </c>
      <c r="H47" s="277">
        <v>0</v>
      </c>
      <c r="I47" s="277">
        <v>65</v>
      </c>
      <c r="J47" s="277">
        <v>287</v>
      </c>
      <c r="K47" s="277">
        <v>313</v>
      </c>
      <c r="L47" s="277">
        <v>242</v>
      </c>
      <c r="M47" s="277">
        <v>113</v>
      </c>
      <c r="N47" s="277">
        <v>10</v>
      </c>
      <c r="O47" s="277">
        <v>0</v>
      </c>
      <c r="P47" s="277">
        <v>0</v>
      </c>
      <c r="Q47" s="277">
        <v>0</v>
      </c>
      <c r="R47" s="277">
        <v>0</v>
      </c>
      <c r="S47" s="277">
        <v>0</v>
      </c>
      <c r="T47" s="277">
        <v>0</v>
      </c>
      <c r="U47" s="277">
        <v>0</v>
      </c>
      <c r="V47" s="277">
        <v>0</v>
      </c>
      <c r="W47" s="277">
        <v>0</v>
      </c>
      <c r="X47" s="277">
        <v>0</v>
      </c>
      <c r="Y47" s="277">
        <v>0</v>
      </c>
      <c r="Z47" s="277">
        <v>0</v>
      </c>
      <c r="AA47" s="277">
        <v>0</v>
      </c>
      <c r="AB47" s="278">
        <v>0</v>
      </c>
    </row>
    <row r="48" spans="1:28" ht="15" customHeight="1">
      <c r="A48" s="258"/>
      <c r="B48" s="259" t="s">
        <v>171</v>
      </c>
      <c r="C48" s="260"/>
      <c r="D48" s="261"/>
      <c r="E48" s="280">
        <v>1</v>
      </c>
      <c r="F48" s="280">
        <v>1</v>
      </c>
      <c r="G48" s="280">
        <v>1</v>
      </c>
      <c r="H48" s="280">
        <v>1</v>
      </c>
      <c r="I48" s="280">
        <v>1</v>
      </c>
      <c r="J48" s="280">
        <v>1</v>
      </c>
      <c r="K48" s="280">
        <v>1</v>
      </c>
      <c r="L48" s="280">
        <v>1</v>
      </c>
      <c r="M48" s="280">
        <v>1</v>
      </c>
      <c r="N48" s="280">
        <v>1</v>
      </c>
      <c r="O48" s="280">
        <v>1</v>
      </c>
      <c r="P48" s="280">
        <v>1</v>
      </c>
      <c r="Q48" s="280">
        <v>1</v>
      </c>
      <c r="R48" s="280">
        <v>1</v>
      </c>
      <c r="S48" s="280">
        <v>1</v>
      </c>
      <c r="T48" s="280">
        <v>1</v>
      </c>
      <c r="U48" s="280">
        <v>1</v>
      </c>
      <c r="V48" s="280">
        <v>1</v>
      </c>
      <c r="W48" s="280">
        <v>1</v>
      </c>
      <c r="X48" s="280">
        <v>1</v>
      </c>
      <c r="Y48" s="280">
        <v>1</v>
      </c>
      <c r="Z48" s="280">
        <v>1</v>
      </c>
      <c r="AA48" s="280">
        <v>1</v>
      </c>
      <c r="AB48" s="281">
        <v>1</v>
      </c>
    </row>
    <row r="49" spans="1:28" ht="15" customHeight="1" thickBot="1">
      <c r="A49" s="262"/>
      <c r="B49" s="263" t="s">
        <v>166</v>
      </c>
      <c r="C49" s="264"/>
      <c r="D49" s="265"/>
      <c r="E49" s="283">
        <v>0</v>
      </c>
      <c r="F49" s="283">
        <v>0</v>
      </c>
      <c r="G49" s="283">
        <v>0</v>
      </c>
      <c r="H49" s="283">
        <v>0</v>
      </c>
      <c r="I49" s="283">
        <v>70</v>
      </c>
      <c r="J49" s="283">
        <v>314</v>
      </c>
      <c r="K49" s="283">
        <v>356</v>
      </c>
      <c r="L49" s="283">
        <v>299</v>
      </c>
      <c r="M49" s="283">
        <v>177</v>
      </c>
      <c r="N49" s="283">
        <v>74</v>
      </c>
      <c r="O49" s="283">
        <v>61</v>
      </c>
      <c r="P49" s="283">
        <v>59</v>
      </c>
      <c r="Q49" s="283">
        <v>63</v>
      </c>
      <c r="R49" s="283">
        <v>65</v>
      </c>
      <c r="S49" s="283">
        <v>63</v>
      </c>
      <c r="T49" s="283">
        <v>51</v>
      </c>
      <c r="U49" s="283">
        <v>37</v>
      </c>
      <c r="V49" s="283">
        <v>17</v>
      </c>
      <c r="W49" s="283">
        <v>2</v>
      </c>
      <c r="X49" s="283">
        <v>0</v>
      </c>
      <c r="Y49" s="283">
        <v>0</v>
      </c>
      <c r="Z49" s="283">
        <v>0</v>
      </c>
      <c r="AA49" s="283">
        <v>0</v>
      </c>
      <c r="AB49" s="284">
        <v>0</v>
      </c>
    </row>
    <row r="50" spans="1:28" ht="15" customHeight="1">
      <c r="A50" s="254" t="s">
        <v>75</v>
      </c>
      <c r="B50" s="255" t="s">
        <v>164</v>
      </c>
      <c r="C50" s="256"/>
      <c r="D50" s="257"/>
      <c r="E50" s="277">
        <v>0</v>
      </c>
      <c r="F50" s="277">
        <v>0</v>
      </c>
      <c r="G50" s="277">
        <v>0</v>
      </c>
      <c r="H50" s="277">
        <v>0</v>
      </c>
      <c r="I50" s="277">
        <v>71</v>
      </c>
      <c r="J50" s="277">
        <v>365</v>
      </c>
      <c r="K50" s="277">
        <v>471</v>
      </c>
      <c r="L50" s="277">
        <v>466</v>
      </c>
      <c r="M50" s="277">
        <v>376</v>
      </c>
      <c r="N50" s="277">
        <v>226</v>
      </c>
      <c r="O50" s="277">
        <v>49</v>
      </c>
      <c r="P50" s="277">
        <v>0</v>
      </c>
      <c r="Q50" s="277">
        <v>0</v>
      </c>
      <c r="R50" s="277">
        <v>0</v>
      </c>
      <c r="S50" s="277">
        <v>0</v>
      </c>
      <c r="T50" s="277">
        <v>0</v>
      </c>
      <c r="U50" s="277">
        <v>0</v>
      </c>
      <c r="V50" s="277">
        <v>0</v>
      </c>
      <c r="W50" s="277">
        <v>0</v>
      </c>
      <c r="X50" s="277">
        <v>0</v>
      </c>
      <c r="Y50" s="277">
        <v>0</v>
      </c>
      <c r="Z50" s="277">
        <v>0</v>
      </c>
      <c r="AA50" s="277">
        <v>0</v>
      </c>
      <c r="AB50" s="278">
        <v>0</v>
      </c>
    </row>
    <row r="51" spans="1:28" ht="15" customHeight="1">
      <c r="A51" s="258"/>
      <c r="B51" s="259" t="s">
        <v>176</v>
      </c>
      <c r="C51" s="260"/>
      <c r="D51" s="261"/>
      <c r="E51" s="280">
        <v>1</v>
      </c>
      <c r="F51" s="280">
        <v>1</v>
      </c>
      <c r="G51" s="280">
        <v>1</v>
      </c>
      <c r="H51" s="280">
        <v>1</v>
      </c>
      <c r="I51" s="280">
        <v>1</v>
      </c>
      <c r="J51" s="280">
        <v>1</v>
      </c>
      <c r="K51" s="280">
        <v>1</v>
      </c>
      <c r="L51" s="280">
        <v>1</v>
      </c>
      <c r="M51" s="280">
        <v>1</v>
      </c>
      <c r="N51" s="280">
        <v>1</v>
      </c>
      <c r="O51" s="280">
        <v>1</v>
      </c>
      <c r="P51" s="280">
        <v>1</v>
      </c>
      <c r="Q51" s="280">
        <v>1</v>
      </c>
      <c r="R51" s="280">
        <v>1</v>
      </c>
      <c r="S51" s="280">
        <v>1</v>
      </c>
      <c r="T51" s="280">
        <v>1</v>
      </c>
      <c r="U51" s="280">
        <v>1</v>
      </c>
      <c r="V51" s="280">
        <v>1</v>
      </c>
      <c r="W51" s="280">
        <v>1</v>
      </c>
      <c r="X51" s="280">
        <v>1</v>
      </c>
      <c r="Y51" s="280">
        <v>1</v>
      </c>
      <c r="Z51" s="280">
        <v>1</v>
      </c>
      <c r="AA51" s="280">
        <v>1</v>
      </c>
      <c r="AB51" s="281">
        <v>1</v>
      </c>
    </row>
    <row r="52" spans="1:28" ht="15" customHeight="1" thickBot="1">
      <c r="A52" s="262"/>
      <c r="B52" s="263" t="s">
        <v>166</v>
      </c>
      <c r="C52" s="264"/>
      <c r="D52" s="265"/>
      <c r="E52" s="283">
        <v>0</v>
      </c>
      <c r="F52" s="283">
        <v>0</v>
      </c>
      <c r="G52" s="283">
        <v>0</v>
      </c>
      <c r="H52" s="283">
        <v>0</v>
      </c>
      <c r="I52" s="283">
        <v>76</v>
      </c>
      <c r="J52" s="283">
        <v>392</v>
      </c>
      <c r="K52" s="283">
        <v>514</v>
      </c>
      <c r="L52" s="283">
        <v>523</v>
      </c>
      <c r="M52" s="283">
        <v>440</v>
      </c>
      <c r="N52" s="283">
        <v>290</v>
      </c>
      <c r="O52" s="283">
        <v>110</v>
      </c>
      <c r="P52" s="283">
        <v>59</v>
      </c>
      <c r="Q52" s="283">
        <v>63</v>
      </c>
      <c r="R52" s="283">
        <v>65</v>
      </c>
      <c r="S52" s="283">
        <v>63</v>
      </c>
      <c r="T52" s="283">
        <v>51</v>
      </c>
      <c r="U52" s="283">
        <v>37</v>
      </c>
      <c r="V52" s="283">
        <v>17</v>
      </c>
      <c r="W52" s="283">
        <v>2</v>
      </c>
      <c r="X52" s="283">
        <v>0</v>
      </c>
      <c r="Y52" s="283">
        <v>0</v>
      </c>
      <c r="Z52" s="283">
        <v>0</v>
      </c>
      <c r="AA52" s="283">
        <v>0</v>
      </c>
      <c r="AB52" s="284">
        <v>0</v>
      </c>
    </row>
    <row r="53" spans="1:28" ht="15" customHeight="1">
      <c r="A53" s="254" t="s">
        <v>76</v>
      </c>
      <c r="B53" s="255" t="s">
        <v>164</v>
      </c>
      <c r="C53" s="256"/>
      <c r="D53" s="257"/>
      <c r="E53" s="277">
        <v>0</v>
      </c>
      <c r="F53" s="277">
        <v>0</v>
      </c>
      <c r="G53" s="277">
        <v>0</v>
      </c>
      <c r="H53" s="277">
        <v>0</v>
      </c>
      <c r="I53" s="277">
        <v>33</v>
      </c>
      <c r="J53" s="277">
        <v>211</v>
      </c>
      <c r="K53" s="277">
        <v>323</v>
      </c>
      <c r="L53" s="277">
        <v>373</v>
      </c>
      <c r="M53" s="277">
        <v>360</v>
      </c>
      <c r="N53" s="277">
        <v>296</v>
      </c>
      <c r="O53" s="277">
        <v>178</v>
      </c>
      <c r="P53" s="277">
        <v>42</v>
      </c>
      <c r="Q53" s="277">
        <v>0</v>
      </c>
      <c r="R53" s="277">
        <v>0</v>
      </c>
      <c r="S53" s="277">
        <v>0</v>
      </c>
      <c r="T53" s="277">
        <v>0</v>
      </c>
      <c r="U53" s="277">
        <v>0</v>
      </c>
      <c r="V53" s="277">
        <v>0</v>
      </c>
      <c r="W53" s="277">
        <v>-1</v>
      </c>
      <c r="X53" s="277">
        <v>0</v>
      </c>
      <c r="Y53" s="277">
        <v>0</v>
      </c>
      <c r="Z53" s="277">
        <v>0</v>
      </c>
      <c r="AA53" s="277">
        <v>0</v>
      </c>
      <c r="AB53" s="278">
        <v>0</v>
      </c>
    </row>
    <row r="54" spans="1:28" ht="15" customHeight="1">
      <c r="A54" s="258"/>
      <c r="B54" s="259" t="s">
        <v>177</v>
      </c>
      <c r="C54" s="260"/>
      <c r="D54" s="261"/>
      <c r="E54" s="280">
        <v>1</v>
      </c>
      <c r="F54" s="280">
        <v>1</v>
      </c>
      <c r="G54" s="280">
        <v>1</v>
      </c>
      <c r="H54" s="280">
        <v>1</v>
      </c>
      <c r="I54" s="280">
        <v>1</v>
      </c>
      <c r="J54" s="280">
        <v>1</v>
      </c>
      <c r="K54" s="280">
        <v>1</v>
      </c>
      <c r="L54" s="280">
        <v>1</v>
      </c>
      <c r="M54" s="280">
        <v>1</v>
      </c>
      <c r="N54" s="280">
        <v>1</v>
      </c>
      <c r="O54" s="280">
        <v>1</v>
      </c>
      <c r="P54" s="280">
        <v>1</v>
      </c>
      <c r="Q54" s="280">
        <v>1</v>
      </c>
      <c r="R54" s="280">
        <v>1</v>
      </c>
      <c r="S54" s="280">
        <v>1</v>
      </c>
      <c r="T54" s="280">
        <v>1</v>
      </c>
      <c r="U54" s="280">
        <v>1</v>
      </c>
      <c r="V54" s="280">
        <v>1</v>
      </c>
      <c r="W54" s="280">
        <v>1</v>
      </c>
      <c r="X54" s="280">
        <v>1</v>
      </c>
      <c r="Y54" s="280">
        <v>1</v>
      </c>
      <c r="Z54" s="280">
        <v>1</v>
      </c>
      <c r="AA54" s="280">
        <v>1</v>
      </c>
      <c r="AB54" s="281">
        <v>1</v>
      </c>
    </row>
    <row r="55" spans="1:28" ht="15" customHeight="1" thickBot="1">
      <c r="A55" s="262"/>
      <c r="B55" s="263" t="s">
        <v>166</v>
      </c>
      <c r="C55" s="264"/>
      <c r="D55" s="265"/>
      <c r="E55" s="283">
        <v>0</v>
      </c>
      <c r="F55" s="283">
        <v>0</v>
      </c>
      <c r="G55" s="283">
        <v>0</v>
      </c>
      <c r="H55" s="283">
        <v>0</v>
      </c>
      <c r="I55" s="283">
        <v>38</v>
      </c>
      <c r="J55" s="283">
        <v>238</v>
      </c>
      <c r="K55" s="283">
        <v>366</v>
      </c>
      <c r="L55" s="283">
        <v>430</v>
      </c>
      <c r="M55" s="283">
        <v>424</v>
      </c>
      <c r="N55" s="283">
        <v>360</v>
      </c>
      <c r="O55" s="283">
        <v>239</v>
      </c>
      <c r="P55" s="283">
        <v>101</v>
      </c>
      <c r="Q55" s="283">
        <v>63</v>
      </c>
      <c r="R55" s="283">
        <v>65</v>
      </c>
      <c r="S55" s="283">
        <v>63</v>
      </c>
      <c r="T55" s="283">
        <v>51</v>
      </c>
      <c r="U55" s="283">
        <v>37</v>
      </c>
      <c r="V55" s="283">
        <v>17</v>
      </c>
      <c r="W55" s="283">
        <v>1</v>
      </c>
      <c r="X55" s="283">
        <v>0</v>
      </c>
      <c r="Y55" s="283">
        <v>0</v>
      </c>
      <c r="Z55" s="283">
        <v>0</v>
      </c>
      <c r="AA55" s="283">
        <v>0</v>
      </c>
      <c r="AB55" s="284">
        <v>0</v>
      </c>
    </row>
    <row r="56" spans="1:28" ht="15" customHeight="1">
      <c r="A56" s="254" t="s">
        <v>77</v>
      </c>
      <c r="B56" s="255" t="s">
        <v>164</v>
      </c>
      <c r="C56" s="256"/>
      <c r="D56" s="257"/>
      <c r="E56" s="277">
        <v>0</v>
      </c>
      <c r="F56" s="277">
        <v>0</v>
      </c>
      <c r="G56" s="277">
        <v>0</v>
      </c>
      <c r="H56" s="277">
        <v>0</v>
      </c>
      <c r="I56" s="277">
        <v>0</v>
      </c>
      <c r="J56" s="277">
        <v>0</v>
      </c>
      <c r="K56" s="277">
        <v>0</v>
      </c>
      <c r="L56" s="277">
        <v>38</v>
      </c>
      <c r="M56" s="277">
        <v>94</v>
      </c>
      <c r="N56" s="277">
        <v>141</v>
      </c>
      <c r="O56" s="277">
        <v>161</v>
      </c>
      <c r="P56" s="277">
        <v>148</v>
      </c>
      <c r="Q56" s="277">
        <v>100</v>
      </c>
      <c r="R56" s="277">
        <v>39</v>
      </c>
      <c r="S56" s="277">
        <v>0</v>
      </c>
      <c r="T56" s="277">
        <v>0</v>
      </c>
      <c r="U56" s="277">
        <v>0</v>
      </c>
      <c r="V56" s="277">
        <v>0</v>
      </c>
      <c r="W56" s="277">
        <v>-2</v>
      </c>
      <c r="X56" s="277">
        <v>0</v>
      </c>
      <c r="Y56" s="277">
        <v>0</v>
      </c>
      <c r="Z56" s="277">
        <v>0</v>
      </c>
      <c r="AA56" s="277">
        <v>0</v>
      </c>
      <c r="AB56" s="278">
        <v>0</v>
      </c>
    </row>
    <row r="57" spans="1:28" ht="15" customHeight="1">
      <c r="A57" s="258"/>
      <c r="B57" s="259" t="s">
        <v>177</v>
      </c>
      <c r="C57" s="260"/>
      <c r="D57" s="261"/>
      <c r="E57" s="280">
        <v>1</v>
      </c>
      <c r="F57" s="280">
        <v>1</v>
      </c>
      <c r="G57" s="280">
        <v>1</v>
      </c>
      <c r="H57" s="280">
        <v>1</v>
      </c>
      <c r="I57" s="280">
        <v>1</v>
      </c>
      <c r="J57" s="280">
        <v>1</v>
      </c>
      <c r="K57" s="280">
        <v>1</v>
      </c>
      <c r="L57" s="280">
        <v>1</v>
      </c>
      <c r="M57" s="280">
        <v>1</v>
      </c>
      <c r="N57" s="280">
        <v>1</v>
      </c>
      <c r="O57" s="280">
        <v>1</v>
      </c>
      <c r="P57" s="280">
        <v>1</v>
      </c>
      <c r="Q57" s="280">
        <v>1</v>
      </c>
      <c r="R57" s="280">
        <v>1</v>
      </c>
      <c r="S57" s="280">
        <v>1</v>
      </c>
      <c r="T57" s="280">
        <v>1</v>
      </c>
      <c r="U57" s="280">
        <v>1</v>
      </c>
      <c r="V57" s="280">
        <v>1</v>
      </c>
      <c r="W57" s="280">
        <v>1</v>
      </c>
      <c r="X57" s="280">
        <v>1</v>
      </c>
      <c r="Y57" s="280">
        <v>1</v>
      </c>
      <c r="Z57" s="280">
        <v>1</v>
      </c>
      <c r="AA57" s="280">
        <v>1</v>
      </c>
      <c r="AB57" s="281">
        <v>1</v>
      </c>
    </row>
    <row r="58" spans="1:28" ht="15" customHeight="1" thickBot="1">
      <c r="A58" s="262"/>
      <c r="B58" s="263" t="s">
        <v>166</v>
      </c>
      <c r="C58" s="264"/>
      <c r="D58" s="265"/>
      <c r="E58" s="283">
        <v>0</v>
      </c>
      <c r="F58" s="283">
        <v>0</v>
      </c>
      <c r="G58" s="283">
        <v>0</v>
      </c>
      <c r="H58" s="283">
        <v>0</v>
      </c>
      <c r="I58" s="283">
        <v>5</v>
      </c>
      <c r="J58" s="283">
        <v>27</v>
      </c>
      <c r="K58" s="283">
        <v>43</v>
      </c>
      <c r="L58" s="283">
        <v>95</v>
      </c>
      <c r="M58" s="283">
        <v>158</v>
      </c>
      <c r="N58" s="283">
        <v>205</v>
      </c>
      <c r="O58" s="283">
        <v>222</v>
      </c>
      <c r="P58" s="283">
        <v>207</v>
      </c>
      <c r="Q58" s="283">
        <v>163</v>
      </c>
      <c r="R58" s="283">
        <v>104</v>
      </c>
      <c r="S58" s="283">
        <v>63</v>
      </c>
      <c r="T58" s="283">
        <v>51</v>
      </c>
      <c r="U58" s="283">
        <v>37</v>
      </c>
      <c r="V58" s="283">
        <v>17</v>
      </c>
      <c r="W58" s="283">
        <v>0</v>
      </c>
      <c r="X58" s="283">
        <v>0</v>
      </c>
      <c r="Y58" s="283">
        <v>0</v>
      </c>
      <c r="Z58" s="283">
        <v>0</v>
      </c>
      <c r="AA58" s="283">
        <v>0</v>
      </c>
      <c r="AB58" s="284">
        <v>0</v>
      </c>
    </row>
    <row r="59" spans="1:28" ht="15" customHeight="1">
      <c r="A59" s="254" t="s">
        <v>78</v>
      </c>
      <c r="B59" s="255" t="s">
        <v>164</v>
      </c>
      <c r="C59" s="256"/>
      <c r="D59" s="257"/>
      <c r="E59" s="277">
        <v>0</v>
      </c>
      <c r="F59" s="277">
        <v>0</v>
      </c>
      <c r="G59" s="277">
        <v>0</v>
      </c>
      <c r="H59" s="277">
        <v>0</v>
      </c>
      <c r="I59" s="277">
        <v>0</v>
      </c>
      <c r="J59" s="277">
        <v>0</v>
      </c>
      <c r="K59" s="277">
        <v>0</v>
      </c>
      <c r="L59" s="277">
        <v>0</v>
      </c>
      <c r="M59" s="277">
        <v>0</v>
      </c>
      <c r="N59" s="277">
        <v>0</v>
      </c>
      <c r="O59" s="277">
        <v>26</v>
      </c>
      <c r="P59" s="277">
        <v>130</v>
      </c>
      <c r="Q59" s="277">
        <v>231</v>
      </c>
      <c r="R59" s="277">
        <v>293</v>
      </c>
      <c r="S59" s="277">
        <v>308</v>
      </c>
      <c r="T59" s="277">
        <v>267</v>
      </c>
      <c r="U59" s="277">
        <v>196</v>
      </c>
      <c r="V59" s="277">
        <v>69</v>
      </c>
      <c r="W59" s="277">
        <v>-2</v>
      </c>
      <c r="X59" s="277">
        <v>0</v>
      </c>
      <c r="Y59" s="277">
        <v>0</v>
      </c>
      <c r="Z59" s="277">
        <v>0</v>
      </c>
      <c r="AA59" s="277">
        <v>0</v>
      </c>
      <c r="AB59" s="278">
        <v>0</v>
      </c>
    </row>
    <row r="60" spans="1:28" ht="15" customHeight="1">
      <c r="A60" s="258"/>
      <c r="B60" s="259" t="s">
        <v>178</v>
      </c>
      <c r="C60" s="260"/>
      <c r="D60" s="261"/>
      <c r="E60" s="280">
        <v>1</v>
      </c>
      <c r="F60" s="280">
        <v>1</v>
      </c>
      <c r="G60" s="280">
        <v>1</v>
      </c>
      <c r="H60" s="280">
        <v>1</v>
      </c>
      <c r="I60" s="280">
        <v>1</v>
      </c>
      <c r="J60" s="280">
        <v>1</v>
      </c>
      <c r="K60" s="280">
        <v>1</v>
      </c>
      <c r="L60" s="280">
        <v>1</v>
      </c>
      <c r="M60" s="280">
        <v>1</v>
      </c>
      <c r="N60" s="280">
        <v>1</v>
      </c>
      <c r="O60" s="280">
        <v>1</v>
      </c>
      <c r="P60" s="280">
        <v>1</v>
      </c>
      <c r="Q60" s="280">
        <v>1</v>
      </c>
      <c r="R60" s="280">
        <v>1</v>
      </c>
      <c r="S60" s="280">
        <v>1</v>
      </c>
      <c r="T60" s="280">
        <v>1</v>
      </c>
      <c r="U60" s="280">
        <v>1</v>
      </c>
      <c r="V60" s="280">
        <v>1</v>
      </c>
      <c r="W60" s="280">
        <v>1</v>
      </c>
      <c r="X60" s="280">
        <v>1</v>
      </c>
      <c r="Y60" s="280">
        <v>1</v>
      </c>
      <c r="Z60" s="280">
        <v>1</v>
      </c>
      <c r="AA60" s="280">
        <v>1</v>
      </c>
      <c r="AB60" s="281">
        <v>1</v>
      </c>
    </row>
    <row r="61" spans="1:28" ht="15" customHeight="1" thickBot="1">
      <c r="A61" s="262"/>
      <c r="B61" s="263" t="s">
        <v>166</v>
      </c>
      <c r="C61" s="264"/>
      <c r="D61" s="265"/>
      <c r="E61" s="283">
        <v>0</v>
      </c>
      <c r="F61" s="283">
        <v>0</v>
      </c>
      <c r="G61" s="283">
        <v>0</v>
      </c>
      <c r="H61" s="283">
        <v>0</v>
      </c>
      <c r="I61" s="283">
        <v>5</v>
      </c>
      <c r="J61" s="283">
        <v>27</v>
      </c>
      <c r="K61" s="283">
        <v>43</v>
      </c>
      <c r="L61" s="283">
        <v>57</v>
      </c>
      <c r="M61" s="283">
        <v>64</v>
      </c>
      <c r="N61" s="283">
        <v>64</v>
      </c>
      <c r="O61" s="283">
        <v>87</v>
      </c>
      <c r="P61" s="283">
        <v>189</v>
      </c>
      <c r="Q61" s="283">
        <v>294</v>
      </c>
      <c r="R61" s="283">
        <v>358</v>
      </c>
      <c r="S61" s="283">
        <v>371</v>
      </c>
      <c r="T61" s="283">
        <v>318</v>
      </c>
      <c r="U61" s="283">
        <v>233</v>
      </c>
      <c r="V61" s="283">
        <v>86</v>
      </c>
      <c r="W61" s="283">
        <v>0</v>
      </c>
      <c r="X61" s="283">
        <v>0</v>
      </c>
      <c r="Y61" s="283">
        <v>0</v>
      </c>
      <c r="Z61" s="283">
        <v>0</v>
      </c>
      <c r="AA61" s="283">
        <v>0</v>
      </c>
      <c r="AB61" s="284">
        <v>0</v>
      </c>
    </row>
    <row r="62" spans="1:28" ht="15" customHeight="1">
      <c r="A62" s="254" t="s">
        <v>79</v>
      </c>
      <c r="B62" s="255" t="s">
        <v>164</v>
      </c>
      <c r="C62" s="256"/>
      <c r="D62" s="257"/>
      <c r="E62" s="277">
        <v>0</v>
      </c>
      <c r="F62" s="277">
        <v>0</v>
      </c>
      <c r="G62" s="277">
        <v>0</v>
      </c>
      <c r="H62" s="277">
        <v>0</v>
      </c>
      <c r="I62" s="277">
        <v>0</v>
      </c>
      <c r="J62" s="277">
        <v>0</v>
      </c>
      <c r="K62" s="277">
        <v>0</v>
      </c>
      <c r="L62" s="277">
        <v>0</v>
      </c>
      <c r="M62" s="277">
        <v>0</v>
      </c>
      <c r="N62" s="277">
        <v>0</v>
      </c>
      <c r="O62" s="277">
        <v>0</v>
      </c>
      <c r="P62" s="277">
        <v>19</v>
      </c>
      <c r="Q62" s="277">
        <v>172</v>
      </c>
      <c r="R62" s="277">
        <v>331</v>
      </c>
      <c r="S62" s="277">
        <v>434</v>
      </c>
      <c r="T62" s="277">
        <v>459</v>
      </c>
      <c r="U62" s="277">
        <v>427</v>
      </c>
      <c r="V62" s="277">
        <v>218</v>
      </c>
      <c r="W62" s="277">
        <v>0</v>
      </c>
      <c r="X62" s="277">
        <v>0</v>
      </c>
      <c r="Y62" s="277">
        <v>0</v>
      </c>
      <c r="Z62" s="277">
        <v>0</v>
      </c>
      <c r="AA62" s="277">
        <v>0</v>
      </c>
      <c r="AB62" s="278">
        <v>0</v>
      </c>
    </row>
    <row r="63" spans="1:28" ht="15" customHeight="1">
      <c r="A63" s="258"/>
      <c r="B63" s="259" t="s">
        <v>172</v>
      </c>
      <c r="C63" s="260"/>
      <c r="D63" s="261"/>
      <c r="E63" s="280">
        <v>1</v>
      </c>
      <c r="F63" s="280">
        <v>1</v>
      </c>
      <c r="G63" s="280">
        <v>1</v>
      </c>
      <c r="H63" s="280">
        <v>1</v>
      </c>
      <c r="I63" s="280">
        <v>1</v>
      </c>
      <c r="J63" s="280">
        <v>1</v>
      </c>
      <c r="K63" s="280">
        <v>1</v>
      </c>
      <c r="L63" s="280">
        <v>1</v>
      </c>
      <c r="M63" s="280">
        <v>1</v>
      </c>
      <c r="N63" s="280">
        <v>1</v>
      </c>
      <c r="O63" s="280">
        <v>1</v>
      </c>
      <c r="P63" s="280">
        <v>1</v>
      </c>
      <c r="Q63" s="280">
        <v>1</v>
      </c>
      <c r="R63" s="280">
        <v>1</v>
      </c>
      <c r="S63" s="280">
        <v>1</v>
      </c>
      <c r="T63" s="280">
        <v>1</v>
      </c>
      <c r="U63" s="280">
        <v>1</v>
      </c>
      <c r="V63" s="280">
        <v>1</v>
      </c>
      <c r="W63" s="280">
        <v>1</v>
      </c>
      <c r="X63" s="280">
        <v>1</v>
      </c>
      <c r="Y63" s="280">
        <v>1</v>
      </c>
      <c r="Z63" s="280">
        <v>1</v>
      </c>
      <c r="AA63" s="280">
        <v>1</v>
      </c>
      <c r="AB63" s="281">
        <v>1</v>
      </c>
    </row>
    <row r="64" spans="1:28" ht="15" customHeight="1" thickBot="1">
      <c r="A64" s="262"/>
      <c r="B64" s="263" t="s">
        <v>166</v>
      </c>
      <c r="C64" s="264"/>
      <c r="D64" s="265"/>
      <c r="E64" s="283">
        <v>0</v>
      </c>
      <c r="F64" s="283">
        <v>0</v>
      </c>
      <c r="G64" s="283">
        <v>0</v>
      </c>
      <c r="H64" s="283">
        <v>0</v>
      </c>
      <c r="I64" s="283">
        <v>5</v>
      </c>
      <c r="J64" s="283">
        <v>27</v>
      </c>
      <c r="K64" s="283">
        <v>43</v>
      </c>
      <c r="L64" s="283">
        <v>57</v>
      </c>
      <c r="M64" s="283">
        <v>64</v>
      </c>
      <c r="N64" s="283">
        <v>64</v>
      </c>
      <c r="O64" s="283">
        <v>61</v>
      </c>
      <c r="P64" s="283">
        <v>78</v>
      </c>
      <c r="Q64" s="283">
        <v>235</v>
      </c>
      <c r="R64" s="283">
        <v>396</v>
      </c>
      <c r="S64" s="283">
        <v>497</v>
      </c>
      <c r="T64" s="283">
        <v>510</v>
      </c>
      <c r="U64" s="283">
        <v>464</v>
      </c>
      <c r="V64" s="283">
        <v>235</v>
      </c>
      <c r="W64" s="283">
        <v>2</v>
      </c>
      <c r="X64" s="283">
        <v>0</v>
      </c>
      <c r="Y64" s="283">
        <v>0</v>
      </c>
      <c r="Z64" s="283">
        <v>0</v>
      </c>
      <c r="AA64" s="283">
        <v>0</v>
      </c>
      <c r="AB64" s="284">
        <v>0</v>
      </c>
    </row>
    <row r="65" spans="1:28" ht="15" customHeight="1">
      <c r="A65" s="266" t="s">
        <v>80</v>
      </c>
      <c r="B65" s="255" t="s">
        <v>164</v>
      </c>
      <c r="C65" s="256"/>
      <c r="D65" s="257"/>
      <c r="E65" s="277">
        <v>0</v>
      </c>
      <c r="F65" s="277">
        <v>0</v>
      </c>
      <c r="G65" s="277">
        <v>0</v>
      </c>
      <c r="H65" s="277">
        <v>0</v>
      </c>
      <c r="I65" s="277">
        <v>0</v>
      </c>
      <c r="J65" s="277">
        <v>0</v>
      </c>
      <c r="K65" s="277">
        <v>0</v>
      </c>
      <c r="L65" s="277">
        <v>0</v>
      </c>
      <c r="M65" s="277">
        <v>0</v>
      </c>
      <c r="N65" s="277">
        <v>0</v>
      </c>
      <c r="O65" s="277">
        <v>0</v>
      </c>
      <c r="P65" s="277">
        <v>0</v>
      </c>
      <c r="Q65" s="277">
        <v>10</v>
      </c>
      <c r="R65" s="277">
        <v>128</v>
      </c>
      <c r="S65" s="277">
        <v>266</v>
      </c>
      <c r="T65" s="277">
        <v>346</v>
      </c>
      <c r="U65" s="277">
        <v>372</v>
      </c>
      <c r="V65" s="277">
        <v>216</v>
      </c>
      <c r="W65" s="277">
        <v>0</v>
      </c>
      <c r="X65" s="277">
        <v>0</v>
      </c>
      <c r="Y65" s="277">
        <v>0</v>
      </c>
      <c r="Z65" s="277">
        <v>0</v>
      </c>
      <c r="AA65" s="277">
        <v>0</v>
      </c>
      <c r="AB65" s="278">
        <v>0</v>
      </c>
    </row>
    <row r="66" spans="1:28" ht="15" customHeight="1">
      <c r="A66" s="267"/>
      <c r="B66" s="259" t="s">
        <v>169</v>
      </c>
      <c r="C66" s="260"/>
      <c r="D66" s="261"/>
      <c r="E66" s="280">
        <v>1</v>
      </c>
      <c r="F66" s="280">
        <v>1</v>
      </c>
      <c r="G66" s="280">
        <v>1</v>
      </c>
      <c r="H66" s="280">
        <v>1</v>
      </c>
      <c r="I66" s="280">
        <v>1</v>
      </c>
      <c r="J66" s="280">
        <v>1</v>
      </c>
      <c r="K66" s="280">
        <v>1</v>
      </c>
      <c r="L66" s="280">
        <v>1</v>
      </c>
      <c r="M66" s="280">
        <v>1</v>
      </c>
      <c r="N66" s="280">
        <v>1</v>
      </c>
      <c r="O66" s="280">
        <v>1</v>
      </c>
      <c r="P66" s="280">
        <v>1</v>
      </c>
      <c r="Q66" s="280">
        <v>1</v>
      </c>
      <c r="R66" s="280">
        <v>1</v>
      </c>
      <c r="S66" s="280">
        <v>1</v>
      </c>
      <c r="T66" s="280">
        <v>1</v>
      </c>
      <c r="U66" s="280">
        <v>1</v>
      </c>
      <c r="V66" s="280">
        <v>1</v>
      </c>
      <c r="W66" s="280">
        <v>1</v>
      </c>
      <c r="X66" s="280">
        <v>1</v>
      </c>
      <c r="Y66" s="280">
        <v>1</v>
      </c>
      <c r="Z66" s="280">
        <v>1</v>
      </c>
      <c r="AA66" s="280">
        <v>1</v>
      </c>
      <c r="AB66" s="281">
        <v>1</v>
      </c>
    </row>
    <row r="67" spans="1:28" ht="15" customHeight="1" thickBot="1">
      <c r="A67" s="268"/>
      <c r="B67" s="263" t="s">
        <v>166</v>
      </c>
      <c r="C67" s="264"/>
      <c r="D67" s="265"/>
      <c r="E67" s="283">
        <v>0</v>
      </c>
      <c r="F67" s="283">
        <v>0</v>
      </c>
      <c r="G67" s="283">
        <v>0</v>
      </c>
      <c r="H67" s="283">
        <v>0</v>
      </c>
      <c r="I67" s="283">
        <v>5</v>
      </c>
      <c r="J67" s="283">
        <v>27</v>
      </c>
      <c r="K67" s="283">
        <v>43</v>
      </c>
      <c r="L67" s="283">
        <v>57</v>
      </c>
      <c r="M67" s="283">
        <v>64</v>
      </c>
      <c r="N67" s="283">
        <v>64</v>
      </c>
      <c r="O67" s="283">
        <v>61</v>
      </c>
      <c r="P67" s="283">
        <v>59</v>
      </c>
      <c r="Q67" s="283">
        <v>73</v>
      </c>
      <c r="R67" s="283">
        <v>193</v>
      </c>
      <c r="S67" s="283">
        <v>329</v>
      </c>
      <c r="T67" s="283">
        <v>397</v>
      </c>
      <c r="U67" s="283">
        <v>409</v>
      </c>
      <c r="V67" s="283">
        <v>233</v>
      </c>
      <c r="W67" s="283">
        <v>2</v>
      </c>
      <c r="X67" s="283">
        <v>0</v>
      </c>
      <c r="Y67" s="283">
        <v>0</v>
      </c>
      <c r="Z67" s="283">
        <v>0</v>
      </c>
      <c r="AA67" s="283">
        <v>0</v>
      </c>
      <c r="AB67" s="284">
        <v>0</v>
      </c>
    </row>
    <row r="68" spans="1:28" ht="15" customHeight="1">
      <c r="A68" s="39" t="s">
        <v>179</v>
      </c>
      <c r="AB68" s="146"/>
    </row>
    <row r="69" spans="1:28" ht="15" customHeight="1">
      <c r="A69" s="238"/>
      <c r="B69" s="239"/>
      <c r="C69" s="240"/>
      <c r="D69" s="241"/>
      <c r="E69" s="270">
        <v>1</v>
      </c>
      <c r="F69" s="270">
        <v>2</v>
      </c>
      <c r="G69" s="270">
        <v>3</v>
      </c>
      <c r="H69" s="270">
        <v>4</v>
      </c>
      <c r="I69" s="270">
        <v>5</v>
      </c>
      <c r="J69" s="270">
        <v>6</v>
      </c>
      <c r="K69" s="270">
        <v>7</v>
      </c>
      <c r="L69" s="270">
        <v>8</v>
      </c>
      <c r="M69" s="270">
        <v>9</v>
      </c>
      <c r="N69" s="270">
        <v>10</v>
      </c>
      <c r="O69" s="270">
        <v>11</v>
      </c>
      <c r="P69" s="270">
        <v>12</v>
      </c>
      <c r="Q69" s="270">
        <v>13</v>
      </c>
      <c r="R69" s="270">
        <v>14</v>
      </c>
      <c r="S69" s="270">
        <v>15</v>
      </c>
      <c r="T69" s="270">
        <v>16</v>
      </c>
      <c r="U69" s="270">
        <v>17</v>
      </c>
      <c r="V69" s="270">
        <v>18</v>
      </c>
      <c r="W69" s="271">
        <v>19</v>
      </c>
      <c r="X69" s="271">
        <v>20</v>
      </c>
      <c r="Y69" s="271">
        <v>21</v>
      </c>
      <c r="Z69" s="271">
        <v>22</v>
      </c>
      <c r="AA69" s="271">
        <v>23</v>
      </c>
      <c r="AB69" s="272">
        <v>24</v>
      </c>
    </row>
    <row r="70" spans="1:28" ht="15" customHeight="1" thickBot="1">
      <c r="A70" s="242" t="s">
        <v>174</v>
      </c>
      <c r="B70" s="243" t="s">
        <v>160</v>
      </c>
      <c r="C70" s="244"/>
      <c r="D70" s="245"/>
      <c r="E70" s="247">
        <v>0</v>
      </c>
      <c r="F70" s="247">
        <v>0</v>
      </c>
      <c r="G70" s="247">
        <v>0</v>
      </c>
      <c r="H70" s="247">
        <v>0</v>
      </c>
      <c r="I70" s="247">
        <v>0</v>
      </c>
      <c r="J70" s="247">
        <v>27</v>
      </c>
      <c r="K70" s="247">
        <v>71</v>
      </c>
      <c r="L70" s="247">
        <v>105</v>
      </c>
      <c r="M70" s="247">
        <v>134</v>
      </c>
      <c r="N70" s="247">
        <v>154</v>
      </c>
      <c r="O70" s="247">
        <v>167</v>
      </c>
      <c r="P70" s="247">
        <v>167</v>
      </c>
      <c r="Q70" s="247">
        <v>158</v>
      </c>
      <c r="R70" s="247">
        <v>138</v>
      </c>
      <c r="S70" s="247">
        <v>116</v>
      </c>
      <c r="T70" s="247">
        <v>85</v>
      </c>
      <c r="U70" s="247">
        <v>38</v>
      </c>
      <c r="V70" s="247">
        <v>4</v>
      </c>
      <c r="W70" s="247">
        <v>0</v>
      </c>
      <c r="X70" s="247">
        <v>0</v>
      </c>
      <c r="Y70" s="247">
        <v>0</v>
      </c>
      <c r="Z70" s="247">
        <v>0</v>
      </c>
      <c r="AA70" s="247">
        <v>0</v>
      </c>
      <c r="AB70" s="248">
        <v>0</v>
      </c>
    </row>
    <row r="71" spans="1:28" ht="15" customHeight="1" thickBot="1">
      <c r="A71" s="249" t="s">
        <v>180</v>
      </c>
      <c r="B71" s="250" t="s">
        <v>162</v>
      </c>
      <c r="C71" s="251"/>
      <c r="D71" s="252"/>
      <c r="E71" s="274">
        <v>0</v>
      </c>
      <c r="F71" s="274">
        <v>0</v>
      </c>
      <c r="G71" s="274">
        <v>0</v>
      </c>
      <c r="H71" s="274">
        <v>0</v>
      </c>
      <c r="I71" s="274">
        <v>0</v>
      </c>
      <c r="J71" s="274">
        <v>15</v>
      </c>
      <c r="K71" s="274">
        <v>33</v>
      </c>
      <c r="L71" s="274">
        <v>48</v>
      </c>
      <c r="M71" s="274">
        <v>55</v>
      </c>
      <c r="N71" s="274">
        <v>56</v>
      </c>
      <c r="O71" s="274">
        <v>57</v>
      </c>
      <c r="P71" s="274">
        <v>56</v>
      </c>
      <c r="Q71" s="274">
        <v>57</v>
      </c>
      <c r="R71" s="274">
        <v>56</v>
      </c>
      <c r="S71" s="274">
        <v>51</v>
      </c>
      <c r="T71" s="274">
        <v>39</v>
      </c>
      <c r="U71" s="274">
        <v>19</v>
      </c>
      <c r="V71" s="274">
        <v>2</v>
      </c>
      <c r="W71" s="274">
        <v>0</v>
      </c>
      <c r="X71" s="274">
        <v>0</v>
      </c>
      <c r="Y71" s="274">
        <v>0</v>
      </c>
      <c r="Z71" s="274">
        <v>0</v>
      </c>
      <c r="AA71" s="274">
        <v>0</v>
      </c>
      <c r="AB71" s="275">
        <v>0</v>
      </c>
    </row>
    <row r="72" spans="1:28" ht="15" customHeight="1" thickBot="1">
      <c r="A72" s="253" t="s">
        <v>72</v>
      </c>
      <c r="B72" s="250" t="s">
        <v>163</v>
      </c>
      <c r="C72" s="251"/>
      <c r="D72" s="252"/>
      <c r="E72" s="274">
        <v>0</v>
      </c>
      <c r="F72" s="274">
        <v>0</v>
      </c>
      <c r="G72" s="274">
        <v>0</v>
      </c>
      <c r="H72" s="274">
        <v>0</v>
      </c>
      <c r="I72" s="274">
        <v>0</v>
      </c>
      <c r="J72" s="274">
        <v>37</v>
      </c>
      <c r="K72" s="274">
        <v>168</v>
      </c>
      <c r="L72" s="274">
        <v>326</v>
      </c>
      <c r="M72" s="274">
        <v>466</v>
      </c>
      <c r="N72" s="274">
        <v>569</v>
      </c>
      <c r="O72" s="274">
        <v>625</v>
      </c>
      <c r="P72" s="274">
        <v>630</v>
      </c>
      <c r="Q72" s="274">
        <v>583</v>
      </c>
      <c r="R72" s="274">
        <v>493</v>
      </c>
      <c r="S72" s="274">
        <v>356</v>
      </c>
      <c r="T72" s="274">
        <v>194</v>
      </c>
      <c r="U72" s="274">
        <v>55</v>
      </c>
      <c r="V72" s="274">
        <v>5</v>
      </c>
      <c r="W72" s="274">
        <v>0</v>
      </c>
      <c r="X72" s="274">
        <v>0</v>
      </c>
      <c r="Y72" s="274">
        <v>0</v>
      </c>
      <c r="Z72" s="274">
        <v>0</v>
      </c>
      <c r="AA72" s="274">
        <v>0</v>
      </c>
      <c r="AB72" s="275">
        <v>0</v>
      </c>
    </row>
    <row r="73" spans="1:28" ht="15" customHeight="1">
      <c r="A73" s="254" t="s">
        <v>73</v>
      </c>
      <c r="B73" s="255" t="s">
        <v>164</v>
      </c>
      <c r="C73" s="256"/>
      <c r="D73" s="257"/>
      <c r="E73" s="277">
        <v>0</v>
      </c>
      <c r="F73" s="277">
        <v>0</v>
      </c>
      <c r="G73" s="277">
        <v>0</v>
      </c>
      <c r="H73" s="277">
        <v>0</v>
      </c>
      <c r="I73" s="277">
        <v>0</v>
      </c>
      <c r="J73" s="277">
        <v>0</v>
      </c>
      <c r="K73" s="277">
        <v>0</v>
      </c>
      <c r="L73" s="277">
        <v>0</v>
      </c>
      <c r="M73" s="277">
        <v>0</v>
      </c>
      <c r="N73" s="277">
        <v>0</v>
      </c>
      <c r="O73" s="277">
        <v>0</v>
      </c>
      <c r="P73" s="277">
        <v>0</v>
      </c>
      <c r="Q73" s="277">
        <v>0</v>
      </c>
      <c r="R73" s="277">
        <v>0</v>
      </c>
      <c r="S73" s="277">
        <v>0</v>
      </c>
      <c r="T73" s="277">
        <v>0</v>
      </c>
      <c r="U73" s="277">
        <v>4</v>
      </c>
      <c r="V73" s="277">
        <v>0</v>
      </c>
      <c r="W73" s="277">
        <v>0</v>
      </c>
      <c r="X73" s="277">
        <v>0</v>
      </c>
      <c r="Y73" s="277">
        <v>0</v>
      </c>
      <c r="Z73" s="277">
        <v>0</v>
      </c>
      <c r="AA73" s="277">
        <v>0</v>
      </c>
      <c r="AB73" s="278">
        <v>0</v>
      </c>
    </row>
    <row r="74" spans="1:28" ht="15" customHeight="1">
      <c r="A74" s="258"/>
      <c r="B74" s="259" t="s">
        <v>168</v>
      </c>
      <c r="C74" s="260"/>
      <c r="D74" s="261"/>
      <c r="E74" s="280">
        <v>1</v>
      </c>
      <c r="F74" s="280">
        <v>1</v>
      </c>
      <c r="G74" s="280">
        <v>1</v>
      </c>
      <c r="H74" s="280">
        <v>1</v>
      </c>
      <c r="I74" s="280">
        <v>1</v>
      </c>
      <c r="J74" s="280">
        <v>1</v>
      </c>
      <c r="K74" s="280">
        <v>1</v>
      </c>
      <c r="L74" s="280">
        <v>1</v>
      </c>
      <c r="M74" s="280">
        <v>1</v>
      </c>
      <c r="N74" s="280">
        <v>1</v>
      </c>
      <c r="O74" s="280">
        <v>1</v>
      </c>
      <c r="P74" s="280">
        <v>1</v>
      </c>
      <c r="Q74" s="280">
        <v>1</v>
      </c>
      <c r="R74" s="280">
        <v>1</v>
      </c>
      <c r="S74" s="280">
        <v>1</v>
      </c>
      <c r="T74" s="280">
        <v>1</v>
      </c>
      <c r="U74" s="280">
        <v>1</v>
      </c>
      <c r="V74" s="280">
        <v>1</v>
      </c>
      <c r="W74" s="280">
        <v>1</v>
      </c>
      <c r="X74" s="280">
        <v>1</v>
      </c>
      <c r="Y74" s="280">
        <v>1</v>
      </c>
      <c r="Z74" s="280">
        <v>1</v>
      </c>
      <c r="AA74" s="280">
        <v>1</v>
      </c>
      <c r="AB74" s="281">
        <v>1</v>
      </c>
    </row>
    <row r="75" spans="1:28" ht="15" customHeight="1" thickBot="1">
      <c r="A75" s="262"/>
      <c r="B75" s="263" t="s">
        <v>166</v>
      </c>
      <c r="C75" s="264"/>
      <c r="D75" s="265"/>
      <c r="E75" s="283">
        <v>0</v>
      </c>
      <c r="F75" s="283">
        <v>0</v>
      </c>
      <c r="G75" s="283">
        <v>0</v>
      </c>
      <c r="H75" s="283">
        <v>0</v>
      </c>
      <c r="I75" s="283">
        <v>0</v>
      </c>
      <c r="J75" s="283">
        <v>15</v>
      </c>
      <c r="K75" s="283">
        <v>33</v>
      </c>
      <c r="L75" s="283">
        <v>48</v>
      </c>
      <c r="M75" s="283">
        <v>55</v>
      </c>
      <c r="N75" s="283">
        <v>56</v>
      </c>
      <c r="O75" s="283">
        <v>57</v>
      </c>
      <c r="P75" s="283">
        <v>56</v>
      </c>
      <c r="Q75" s="283">
        <v>57</v>
      </c>
      <c r="R75" s="283">
        <v>56</v>
      </c>
      <c r="S75" s="283">
        <v>51</v>
      </c>
      <c r="T75" s="283">
        <v>39</v>
      </c>
      <c r="U75" s="283">
        <v>23</v>
      </c>
      <c r="V75" s="283">
        <v>2</v>
      </c>
      <c r="W75" s="283">
        <v>0</v>
      </c>
      <c r="X75" s="283">
        <v>0</v>
      </c>
      <c r="Y75" s="283">
        <v>0</v>
      </c>
      <c r="Z75" s="283">
        <v>0</v>
      </c>
      <c r="AA75" s="283">
        <v>0</v>
      </c>
      <c r="AB75" s="284">
        <v>0</v>
      </c>
    </row>
    <row r="76" spans="1:28" ht="15" customHeight="1">
      <c r="A76" s="254" t="s">
        <v>74</v>
      </c>
      <c r="B76" s="255" t="s">
        <v>164</v>
      </c>
      <c r="C76" s="256"/>
      <c r="D76" s="257"/>
      <c r="E76" s="277">
        <v>0</v>
      </c>
      <c r="F76" s="277">
        <v>0</v>
      </c>
      <c r="G76" s="277">
        <v>0</v>
      </c>
      <c r="H76" s="277">
        <v>0</v>
      </c>
      <c r="I76" s="277">
        <v>0</v>
      </c>
      <c r="J76" s="277">
        <v>179</v>
      </c>
      <c r="K76" s="277">
        <v>191</v>
      </c>
      <c r="L76" s="277">
        <v>103</v>
      </c>
      <c r="M76" s="277">
        <v>6</v>
      </c>
      <c r="N76" s="277">
        <v>0</v>
      </c>
      <c r="O76" s="277">
        <v>0</v>
      </c>
      <c r="P76" s="277">
        <v>0</v>
      </c>
      <c r="Q76" s="277">
        <v>0</v>
      </c>
      <c r="R76" s="277">
        <v>0</v>
      </c>
      <c r="S76" s="277">
        <v>0</v>
      </c>
      <c r="T76" s="277">
        <v>0</v>
      </c>
      <c r="U76" s="277">
        <v>0</v>
      </c>
      <c r="V76" s="277">
        <v>0</v>
      </c>
      <c r="W76" s="277">
        <v>0</v>
      </c>
      <c r="X76" s="277">
        <v>0</v>
      </c>
      <c r="Y76" s="277">
        <v>0</v>
      </c>
      <c r="Z76" s="277">
        <v>0</v>
      </c>
      <c r="AA76" s="277">
        <v>0</v>
      </c>
      <c r="AB76" s="278">
        <v>0</v>
      </c>
    </row>
    <row r="77" spans="1:28" ht="15" customHeight="1">
      <c r="A77" s="258"/>
      <c r="B77" s="259" t="s">
        <v>169</v>
      </c>
      <c r="C77" s="260"/>
      <c r="D77" s="261"/>
      <c r="E77" s="280">
        <v>1</v>
      </c>
      <c r="F77" s="280">
        <v>1</v>
      </c>
      <c r="G77" s="280">
        <v>1</v>
      </c>
      <c r="H77" s="280">
        <v>1</v>
      </c>
      <c r="I77" s="280">
        <v>1</v>
      </c>
      <c r="J77" s="280">
        <v>1</v>
      </c>
      <c r="K77" s="280">
        <v>1</v>
      </c>
      <c r="L77" s="280">
        <v>1</v>
      </c>
      <c r="M77" s="280">
        <v>1</v>
      </c>
      <c r="N77" s="280">
        <v>1</v>
      </c>
      <c r="O77" s="280">
        <v>1</v>
      </c>
      <c r="P77" s="280">
        <v>1</v>
      </c>
      <c r="Q77" s="280">
        <v>1</v>
      </c>
      <c r="R77" s="280">
        <v>1</v>
      </c>
      <c r="S77" s="280">
        <v>1</v>
      </c>
      <c r="T77" s="280">
        <v>1</v>
      </c>
      <c r="U77" s="280">
        <v>1</v>
      </c>
      <c r="V77" s="280">
        <v>1</v>
      </c>
      <c r="W77" s="280">
        <v>1</v>
      </c>
      <c r="X77" s="280">
        <v>1</v>
      </c>
      <c r="Y77" s="280">
        <v>1</v>
      </c>
      <c r="Z77" s="280">
        <v>1</v>
      </c>
      <c r="AA77" s="280">
        <v>1</v>
      </c>
      <c r="AB77" s="281">
        <v>1</v>
      </c>
    </row>
    <row r="78" spans="1:28" ht="15" customHeight="1" thickBot="1">
      <c r="A78" s="262"/>
      <c r="B78" s="263" t="s">
        <v>166</v>
      </c>
      <c r="C78" s="264"/>
      <c r="D78" s="265"/>
      <c r="E78" s="283">
        <v>0</v>
      </c>
      <c r="F78" s="283">
        <v>0</v>
      </c>
      <c r="G78" s="283">
        <v>0</v>
      </c>
      <c r="H78" s="283">
        <v>0</v>
      </c>
      <c r="I78" s="283">
        <v>0</v>
      </c>
      <c r="J78" s="283">
        <v>194</v>
      </c>
      <c r="K78" s="283">
        <v>224</v>
      </c>
      <c r="L78" s="283">
        <v>151</v>
      </c>
      <c r="M78" s="283">
        <v>61</v>
      </c>
      <c r="N78" s="283">
        <v>56</v>
      </c>
      <c r="O78" s="283">
        <v>57</v>
      </c>
      <c r="P78" s="283">
        <v>56</v>
      </c>
      <c r="Q78" s="283">
        <v>57</v>
      </c>
      <c r="R78" s="283">
        <v>56</v>
      </c>
      <c r="S78" s="283">
        <v>51</v>
      </c>
      <c r="T78" s="283">
        <v>39</v>
      </c>
      <c r="U78" s="283">
        <v>19</v>
      </c>
      <c r="V78" s="283">
        <v>2</v>
      </c>
      <c r="W78" s="283">
        <v>0</v>
      </c>
      <c r="X78" s="283">
        <v>0</v>
      </c>
      <c r="Y78" s="283">
        <v>0</v>
      </c>
      <c r="Z78" s="283">
        <v>0</v>
      </c>
      <c r="AA78" s="283">
        <v>0</v>
      </c>
      <c r="AB78" s="284">
        <v>0</v>
      </c>
    </row>
    <row r="79" spans="1:28" ht="15" customHeight="1">
      <c r="A79" s="254" t="s">
        <v>75</v>
      </c>
      <c r="B79" s="255" t="s">
        <v>164</v>
      </c>
      <c r="C79" s="256"/>
      <c r="D79" s="257"/>
      <c r="E79" s="277">
        <v>0</v>
      </c>
      <c r="F79" s="277">
        <v>0</v>
      </c>
      <c r="G79" s="277">
        <v>0</v>
      </c>
      <c r="H79" s="277">
        <v>0</v>
      </c>
      <c r="I79" s="277">
        <v>0</v>
      </c>
      <c r="J79" s="277">
        <v>304</v>
      </c>
      <c r="K79" s="277">
        <v>437</v>
      </c>
      <c r="L79" s="277">
        <v>444</v>
      </c>
      <c r="M79" s="277">
        <v>354</v>
      </c>
      <c r="N79" s="277">
        <v>186</v>
      </c>
      <c r="O79" s="277">
        <v>16</v>
      </c>
      <c r="P79" s="277">
        <v>0</v>
      </c>
      <c r="Q79" s="277">
        <v>0</v>
      </c>
      <c r="R79" s="277">
        <v>0</v>
      </c>
      <c r="S79" s="277">
        <v>0</v>
      </c>
      <c r="T79" s="277">
        <v>0</v>
      </c>
      <c r="U79" s="277">
        <v>0</v>
      </c>
      <c r="V79" s="277">
        <v>0</v>
      </c>
      <c r="W79" s="277">
        <v>0</v>
      </c>
      <c r="X79" s="277">
        <v>0</v>
      </c>
      <c r="Y79" s="277">
        <v>0</v>
      </c>
      <c r="Z79" s="277">
        <v>0</v>
      </c>
      <c r="AA79" s="277">
        <v>0</v>
      </c>
      <c r="AB79" s="278">
        <v>0</v>
      </c>
    </row>
    <row r="80" spans="1:28" ht="15" customHeight="1">
      <c r="A80" s="258"/>
      <c r="B80" s="259" t="s">
        <v>181</v>
      </c>
      <c r="C80" s="260"/>
      <c r="D80" s="261"/>
      <c r="E80" s="280">
        <v>1</v>
      </c>
      <c r="F80" s="280">
        <v>1</v>
      </c>
      <c r="G80" s="280">
        <v>1</v>
      </c>
      <c r="H80" s="280">
        <v>1</v>
      </c>
      <c r="I80" s="280">
        <v>1</v>
      </c>
      <c r="J80" s="280">
        <v>1</v>
      </c>
      <c r="K80" s="280">
        <v>1</v>
      </c>
      <c r="L80" s="280">
        <v>1</v>
      </c>
      <c r="M80" s="280">
        <v>1</v>
      </c>
      <c r="N80" s="280">
        <v>1</v>
      </c>
      <c r="O80" s="280">
        <v>1</v>
      </c>
      <c r="P80" s="280">
        <v>1</v>
      </c>
      <c r="Q80" s="280">
        <v>1</v>
      </c>
      <c r="R80" s="280">
        <v>1</v>
      </c>
      <c r="S80" s="280">
        <v>1</v>
      </c>
      <c r="T80" s="280">
        <v>1</v>
      </c>
      <c r="U80" s="280">
        <v>1</v>
      </c>
      <c r="V80" s="280">
        <v>1</v>
      </c>
      <c r="W80" s="280">
        <v>1</v>
      </c>
      <c r="X80" s="280">
        <v>1</v>
      </c>
      <c r="Y80" s="280">
        <v>1</v>
      </c>
      <c r="Z80" s="280">
        <v>1</v>
      </c>
      <c r="AA80" s="280">
        <v>1</v>
      </c>
      <c r="AB80" s="281">
        <v>1</v>
      </c>
    </row>
    <row r="81" spans="1:28" ht="15" customHeight="1" thickBot="1">
      <c r="A81" s="262"/>
      <c r="B81" s="263" t="s">
        <v>166</v>
      </c>
      <c r="C81" s="264"/>
      <c r="D81" s="265"/>
      <c r="E81" s="283">
        <v>0</v>
      </c>
      <c r="F81" s="283">
        <v>0</v>
      </c>
      <c r="G81" s="283">
        <v>0</v>
      </c>
      <c r="H81" s="283">
        <v>0</v>
      </c>
      <c r="I81" s="283">
        <v>0</v>
      </c>
      <c r="J81" s="283">
        <v>319</v>
      </c>
      <c r="K81" s="283">
        <v>470</v>
      </c>
      <c r="L81" s="283">
        <v>492</v>
      </c>
      <c r="M81" s="283">
        <v>409</v>
      </c>
      <c r="N81" s="283">
        <v>242</v>
      </c>
      <c r="O81" s="283">
        <v>73</v>
      </c>
      <c r="P81" s="283">
        <v>56</v>
      </c>
      <c r="Q81" s="283">
        <v>57</v>
      </c>
      <c r="R81" s="283">
        <v>56</v>
      </c>
      <c r="S81" s="283">
        <v>51</v>
      </c>
      <c r="T81" s="283">
        <v>39</v>
      </c>
      <c r="U81" s="283">
        <v>19</v>
      </c>
      <c r="V81" s="283">
        <v>2</v>
      </c>
      <c r="W81" s="283">
        <v>0</v>
      </c>
      <c r="X81" s="283">
        <v>0</v>
      </c>
      <c r="Y81" s="283">
        <v>0</v>
      </c>
      <c r="Z81" s="283">
        <v>0</v>
      </c>
      <c r="AA81" s="283">
        <v>0</v>
      </c>
      <c r="AB81" s="284">
        <v>0</v>
      </c>
    </row>
    <row r="82" spans="1:28" ht="15" customHeight="1">
      <c r="A82" s="254" t="s">
        <v>76</v>
      </c>
      <c r="B82" s="255" t="s">
        <v>164</v>
      </c>
      <c r="C82" s="256"/>
      <c r="D82" s="257"/>
      <c r="E82" s="277">
        <v>0</v>
      </c>
      <c r="F82" s="277">
        <v>0</v>
      </c>
      <c r="G82" s="277">
        <v>0</v>
      </c>
      <c r="H82" s="277">
        <v>0</v>
      </c>
      <c r="I82" s="277">
        <v>0</v>
      </c>
      <c r="J82" s="277">
        <v>233</v>
      </c>
      <c r="K82" s="277">
        <v>389</v>
      </c>
      <c r="L82" s="277">
        <v>466</v>
      </c>
      <c r="M82" s="277">
        <v>468</v>
      </c>
      <c r="N82" s="277">
        <v>403</v>
      </c>
      <c r="O82" s="277">
        <v>279</v>
      </c>
      <c r="P82" s="277">
        <v>111</v>
      </c>
      <c r="Q82" s="277">
        <v>0</v>
      </c>
      <c r="R82" s="277">
        <v>0</v>
      </c>
      <c r="S82" s="277">
        <v>0</v>
      </c>
      <c r="T82" s="277">
        <v>0</v>
      </c>
      <c r="U82" s="277">
        <v>0</v>
      </c>
      <c r="V82" s="277">
        <v>-2</v>
      </c>
      <c r="W82" s="277">
        <v>0</v>
      </c>
      <c r="X82" s="277">
        <v>0</v>
      </c>
      <c r="Y82" s="277">
        <v>0</v>
      </c>
      <c r="Z82" s="277">
        <v>0</v>
      </c>
      <c r="AA82" s="277">
        <v>0</v>
      </c>
      <c r="AB82" s="278">
        <v>0</v>
      </c>
    </row>
    <row r="83" spans="1:28" ht="15" customHeight="1">
      <c r="A83" s="258"/>
      <c r="B83" s="259" t="s">
        <v>171</v>
      </c>
      <c r="C83" s="260"/>
      <c r="D83" s="261"/>
      <c r="E83" s="280">
        <v>1</v>
      </c>
      <c r="F83" s="280">
        <v>1</v>
      </c>
      <c r="G83" s="280">
        <v>1</v>
      </c>
      <c r="H83" s="280">
        <v>1</v>
      </c>
      <c r="I83" s="280">
        <v>1</v>
      </c>
      <c r="J83" s="280">
        <v>1</v>
      </c>
      <c r="K83" s="280">
        <v>1</v>
      </c>
      <c r="L83" s="280">
        <v>1</v>
      </c>
      <c r="M83" s="280">
        <v>1</v>
      </c>
      <c r="N83" s="280">
        <v>1</v>
      </c>
      <c r="O83" s="280">
        <v>1</v>
      </c>
      <c r="P83" s="280">
        <v>1</v>
      </c>
      <c r="Q83" s="280">
        <v>1</v>
      </c>
      <c r="R83" s="280">
        <v>1</v>
      </c>
      <c r="S83" s="280">
        <v>1</v>
      </c>
      <c r="T83" s="280">
        <v>1</v>
      </c>
      <c r="U83" s="280">
        <v>1</v>
      </c>
      <c r="V83" s="280">
        <v>1</v>
      </c>
      <c r="W83" s="280">
        <v>1</v>
      </c>
      <c r="X83" s="280">
        <v>1</v>
      </c>
      <c r="Y83" s="280">
        <v>1</v>
      </c>
      <c r="Z83" s="280">
        <v>1</v>
      </c>
      <c r="AA83" s="280">
        <v>1</v>
      </c>
      <c r="AB83" s="281">
        <v>1</v>
      </c>
    </row>
    <row r="84" spans="1:28" ht="15" customHeight="1" thickBot="1">
      <c r="A84" s="262"/>
      <c r="B84" s="263" t="s">
        <v>166</v>
      </c>
      <c r="C84" s="264"/>
      <c r="D84" s="265"/>
      <c r="E84" s="283">
        <v>0</v>
      </c>
      <c r="F84" s="283">
        <v>0</v>
      </c>
      <c r="G84" s="283">
        <v>0</v>
      </c>
      <c r="H84" s="283">
        <v>0</v>
      </c>
      <c r="I84" s="283">
        <v>0</v>
      </c>
      <c r="J84" s="283">
        <v>248</v>
      </c>
      <c r="K84" s="283">
        <v>422</v>
      </c>
      <c r="L84" s="283">
        <v>514</v>
      </c>
      <c r="M84" s="283">
        <v>523</v>
      </c>
      <c r="N84" s="283">
        <v>459</v>
      </c>
      <c r="O84" s="283">
        <v>336</v>
      </c>
      <c r="P84" s="283">
        <v>167</v>
      </c>
      <c r="Q84" s="283">
        <v>57</v>
      </c>
      <c r="R84" s="283">
        <v>56</v>
      </c>
      <c r="S84" s="283">
        <v>51</v>
      </c>
      <c r="T84" s="283">
        <v>39</v>
      </c>
      <c r="U84" s="283">
        <v>19</v>
      </c>
      <c r="V84" s="283">
        <v>0</v>
      </c>
      <c r="W84" s="283">
        <v>0</v>
      </c>
      <c r="X84" s="283">
        <v>0</v>
      </c>
      <c r="Y84" s="283">
        <v>0</v>
      </c>
      <c r="Z84" s="283">
        <v>0</v>
      </c>
      <c r="AA84" s="283">
        <v>0</v>
      </c>
      <c r="AB84" s="284">
        <v>0</v>
      </c>
    </row>
    <row r="85" spans="1:28" ht="15" customHeight="1">
      <c r="A85" s="254" t="s">
        <v>77</v>
      </c>
      <c r="B85" s="255" t="s">
        <v>164</v>
      </c>
      <c r="C85" s="256"/>
      <c r="D85" s="257"/>
      <c r="E85" s="277">
        <v>0</v>
      </c>
      <c r="F85" s="277">
        <v>0</v>
      </c>
      <c r="G85" s="277">
        <v>0</v>
      </c>
      <c r="H85" s="277">
        <v>0</v>
      </c>
      <c r="I85" s="277">
        <v>0</v>
      </c>
      <c r="J85" s="277">
        <v>16</v>
      </c>
      <c r="K85" s="277">
        <v>87</v>
      </c>
      <c r="L85" s="277">
        <v>183</v>
      </c>
      <c r="M85" s="277">
        <v>269</v>
      </c>
      <c r="N85" s="277">
        <v>328</v>
      </c>
      <c r="O85" s="277">
        <v>351</v>
      </c>
      <c r="P85" s="277">
        <v>333</v>
      </c>
      <c r="Q85" s="277">
        <v>274</v>
      </c>
      <c r="R85" s="277">
        <v>183</v>
      </c>
      <c r="S85" s="277">
        <v>76</v>
      </c>
      <c r="T85" s="277">
        <v>5</v>
      </c>
      <c r="U85" s="277">
        <v>0</v>
      </c>
      <c r="V85" s="277">
        <v>-4</v>
      </c>
      <c r="W85" s="277">
        <v>0</v>
      </c>
      <c r="X85" s="277">
        <v>0</v>
      </c>
      <c r="Y85" s="277">
        <v>0</v>
      </c>
      <c r="Z85" s="277">
        <v>0</v>
      </c>
      <c r="AA85" s="277">
        <v>0</v>
      </c>
      <c r="AB85" s="278">
        <v>0</v>
      </c>
    </row>
    <row r="86" spans="1:28" ht="15" customHeight="1">
      <c r="A86" s="258"/>
      <c r="B86" s="259" t="s">
        <v>181</v>
      </c>
      <c r="C86" s="260"/>
      <c r="D86" s="261"/>
      <c r="E86" s="280">
        <v>1</v>
      </c>
      <c r="F86" s="280">
        <v>1</v>
      </c>
      <c r="G86" s="280">
        <v>1</v>
      </c>
      <c r="H86" s="280">
        <v>1</v>
      </c>
      <c r="I86" s="280">
        <v>1</v>
      </c>
      <c r="J86" s="280">
        <v>1</v>
      </c>
      <c r="K86" s="280">
        <v>1</v>
      </c>
      <c r="L86" s="280">
        <v>1</v>
      </c>
      <c r="M86" s="280">
        <v>1</v>
      </c>
      <c r="N86" s="280">
        <v>1</v>
      </c>
      <c r="O86" s="280">
        <v>1</v>
      </c>
      <c r="P86" s="280">
        <v>1</v>
      </c>
      <c r="Q86" s="280">
        <v>1</v>
      </c>
      <c r="R86" s="280">
        <v>1</v>
      </c>
      <c r="S86" s="280">
        <v>1</v>
      </c>
      <c r="T86" s="280">
        <v>1</v>
      </c>
      <c r="U86" s="280">
        <v>1</v>
      </c>
      <c r="V86" s="280">
        <v>1</v>
      </c>
      <c r="W86" s="280">
        <v>1</v>
      </c>
      <c r="X86" s="280">
        <v>1</v>
      </c>
      <c r="Y86" s="280">
        <v>1</v>
      </c>
      <c r="Z86" s="280">
        <v>1</v>
      </c>
      <c r="AA86" s="280">
        <v>1</v>
      </c>
      <c r="AB86" s="281">
        <v>1</v>
      </c>
    </row>
    <row r="87" spans="1:28" ht="15" customHeight="1" thickBot="1">
      <c r="A87" s="262"/>
      <c r="B87" s="263" t="s">
        <v>166</v>
      </c>
      <c r="C87" s="264"/>
      <c r="D87" s="265"/>
      <c r="E87" s="283">
        <v>0</v>
      </c>
      <c r="F87" s="283">
        <v>0</v>
      </c>
      <c r="G87" s="283">
        <v>0</v>
      </c>
      <c r="H87" s="283">
        <v>0</v>
      </c>
      <c r="I87" s="283">
        <v>0</v>
      </c>
      <c r="J87" s="283">
        <v>31</v>
      </c>
      <c r="K87" s="283">
        <v>120</v>
      </c>
      <c r="L87" s="283">
        <v>231</v>
      </c>
      <c r="M87" s="283">
        <v>324</v>
      </c>
      <c r="N87" s="283">
        <v>384</v>
      </c>
      <c r="O87" s="283">
        <v>408</v>
      </c>
      <c r="P87" s="283">
        <v>389</v>
      </c>
      <c r="Q87" s="283">
        <v>331</v>
      </c>
      <c r="R87" s="283">
        <v>239</v>
      </c>
      <c r="S87" s="283">
        <v>127</v>
      </c>
      <c r="T87" s="283">
        <v>44</v>
      </c>
      <c r="U87" s="283">
        <v>19</v>
      </c>
      <c r="V87" s="283">
        <v>-2</v>
      </c>
      <c r="W87" s="283">
        <v>0</v>
      </c>
      <c r="X87" s="283">
        <v>0</v>
      </c>
      <c r="Y87" s="283">
        <v>0</v>
      </c>
      <c r="Z87" s="283">
        <v>0</v>
      </c>
      <c r="AA87" s="283">
        <v>0</v>
      </c>
      <c r="AB87" s="284">
        <v>0</v>
      </c>
    </row>
    <row r="88" spans="1:28" ht="15" customHeight="1">
      <c r="A88" s="254" t="s">
        <v>78</v>
      </c>
      <c r="B88" s="255" t="s">
        <v>164</v>
      </c>
      <c r="C88" s="256"/>
      <c r="D88" s="257"/>
      <c r="E88" s="277">
        <v>0</v>
      </c>
      <c r="F88" s="277">
        <v>0</v>
      </c>
      <c r="G88" s="277">
        <v>0</v>
      </c>
      <c r="H88" s="277">
        <v>0</v>
      </c>
      <c r="I88" s="277">
        <v>0</v>
      </c>
      <c r="J88" s="277">
        <v>0</v>
      </c>
      <c r="K88" s="277">
        <v>0</v>
      </c>
      <c r="L88" s="277">
        <v>0</v>
      </c>
      <c r="M88" s="277">
        <v>0</v>
      </c>
      <c r="N88" s="277">
        <v>35</v>
      </c>
      <c r="O88" s="277">
        <v>165</v>
      </c>
      <c r="P88" s="277">
        <v>301</v>
      </c>
      <c r="Q88" s="277">
        <v>396</v>
      </c>
      <c r="R88" s="277">
        <v>445</v>
      </c>
      <c r="S88" s="277">
        <v>424</v>
      </c>
      <c r="T88" s="277">
        <v>326</v>
      </c>
      <c r="U88" s="277">
        <v>185</v>
      </c>
      <c r="V88" s="277">
        <v>-3</v>
      </c>
      <c r="W88" s="277">
        <v>0</v>
      </c>
      <c r="X88" s="277">
        <v>0</v>
      </c>
      <c r="Y88" s="277">
        <v>0</v>
      </c>
      <c r="Z88" s="277">
        <v>0</v>
      </c>
      <c r="AA88" s="277">
        <v>0</v>
      </c>
      <c r="AB88" s="278">
        <v>0</v>
      </c>
    </row>
    <row r="89" spans="1:28" ht="15" customHeight="1">
      <c r="A89" s="258"/>
      <c r="B89" s="259" t="s">
        <v>182</v>
      </c>
      <c r="C89" s="260"/>
      <c r="D89" s="261"/>
      <c r="E89" s="280">
        <v>1</v>
      </c>
      <c r="F89" s="280">
        <v>1</v>
      </c>
      <c r="G89" s="280">
        <v>1</v>
      </c>
      <c r="H89" s="280">
        <v>1</v>
      </c>
      <c r="I89" s="280">
        <v>1</v>
      </c>
      <c r="J89" s="280">
        <v>1</v>
      </c>
      <c r="K89" s="280">
        <v>1</v>
      </c>
      <c r="L89" s="280">
        <v>1</v>
      </c>
      <c r="M89" s="280">
        <v>1</v>
      </c>
      <c r="N89" s="280">
        <v>1</v>
      </c>
      <c r="O89" s="280">
        <v>1</v>
      </c>
      <c r="P89" s="280">
        <v>1</v>
      </c>
      <c r="Q89" s="280">
        <v>1</v>
      </c>
      <c r="R89" s="280">
        <v>1</v>
      </c>
      <c r="S89" s="280">
        <v>1</v>
      </c>
      <c r="T89" s="280">
        <v>1</v>
      </c>
      <c r="U89" s="280">
        <v>1</v>
      </c>
      <c r="V89" s="280">
        <v>1</v>
      </c>
      <c r="W89" s="280">
        <v>1</v>
      </c>
      <c r="X89" s="280">
        <v>1</v>
      </c>
      <c r="Y89" s="280">
        <v>1</v>
      </c>
      <c r="Z89" s="280">
        <v>1</v>
      </c>
      <c r="AA89" s="280">
        <v>1</v>
      </c>
      <c r="AB89" s="281">
        <v>1</v>
      </c>
    </row>
    <row r="90" spans="1:28" ht="15" customHeight="1" thickBot="1">
      <c r="A90" s="262"/>
      <c r="B90" s="263" t="s">
        <v>166</v>
      </c>
      <c r="C90" s="264"/>
      <c r="D90" s="265"/>
      <c r="E90" s="283">
        <v>0</v>
      </c>
      <c r="F90" s="283">
        <v>0</v>
      </c>
      <c r="G90" s="283">
        <v>0</v>
      </c>
      <c r="H90" s="283">
        <v>0</v>
      </c>
      <c r="I90" s="283">
        <v>0</v>
      </c>
      <c r="J90" s="283">
        <v>15</v>
      </c>
      <c r="K90" s="283">
        <v>33</v>
      </c>
      <c r="L90" s="283">
        <v>48</v>
      </c>
      <c r="M90" s="283">
        <v>55</v>
      </c>
      <c r="N90" s="283">
        <v>91</v>
      </c>
      <c r="O90" s="283">
        <v>222</v>
      </c>
      <c r="P90" s="283">
        <v>357</v>
      </c>
      <c r="Q90" s="283">
        <v>453</v>
      </c>
      <c r="R90" s="283">
        <v>501</v>
      </c>
      <c r="S90" s="283">
        <v>475</v>
      </c>
      <c r="T90" s="283">
        <v>365</v>
      </c>
      <c r="U90" s="283">
        <v>204</v>
      </c>
      <c r="V90" s="283">
        <v>-1</v>
      </c>
      <c r="W90" s="283">
        <v>0</v>
      </c>
      <c r="X90" s="283">
        <v>0</v>
      </c>
      <c r="Y90" s="283">
        <v>0</v>
      </c>
      <c r="Z90" s="283">
        <v>0</v>
      </c>
      <c r="AA90" s="283">
        <v>0</v>
      </c>
      <c r="AB90" s="284">
        <v>0</v>
      </c>
    </row>
    <row r="91" spans="1:28" ht="15" customHeight="1">
      <c r="A91" s="254" t="s">
        <v>79</v>
      </c>
      <c r="B91" s="255" t="s">
        <v>164</v>
      </c>
      <c r="C91" s="256"/>
      <c r="D91" s="257"/>
      <c r="E91" s="277">
        <v>0</v>
      </c>
      <c r="F91" s="277">
        <v>0</v>
      </c>
      <c r="G91" s="277">
        <v>0</v>
      </c>
      <c r="H91" s="277">
        <v>0</v>
      </c>
      <c r="I91" s="277">
        <v>0</v>
      </c>
      <c r="J91" s="277">
        <v>0</v>
      </c>
      <c r="K91" s="277">
        <v>0</v>
      </c>
      <c r="L91" s="277">
        <v>0</v>
      </c>
      <c r="M91" s="277">
        <v>0</v>
      </c>
      <c r="N91" s="277">
        <v>0</v>
      </c>
      <c r="O91" s="277">
        <v>0</v>
      </c>
      <c r="P91" s="277">
        <v>56</v>
      </c>
      <c r="Q91" s="277">
        <v>236</v>
      </c>
      <c r="R91" s="277">
        <v>390</v>
      </c>
      <c r="S91" s="277">
        <v>464</v>
      </c>
      <c r="T91" s="277">
        <v>427</v>
      </c>
      <c r="U91" s="277">
        <v>288</v>
      </c>
      <c r="V91" s="277">
        <v>0</v>
      </c>
      <c r="W91" s="277">
        <v>0</v>
      </c>
      <c r="X91" s="277">
        <v>0</v>
      </c>
      <c r="Y91" s="277">
        <v>0</v>
      </c>
      <c r="Z91" s="277">
        <v>0</v>
      </c>
      <c r="AA91" s="277">
        <v>0</v>
      </c>
      <c r="AB91" s="278">
        <v>0</v>
      </c>
    </row>
    <row r="92" spans="1:28" ht="15" customHeight="1">
      <c r="A92" s="258"/>
      <c r="B92" s="259" t="s">
        <v>183</v>
      </c>
      <c r="C92" s="260"/>
      <c r="D92" s="261"/>
      <c r="E92" s="280">
        <v>1</v>
      </c>
      <c r="F92" s="280">
        <v>1</v>
      </c>
      <c r="G92" s="280">
        <v>1</v>
      </c>
      <c r="H92" s="280">
        <v>1</v>
      </c>
      <c r="I92" s="280">
        <v>1</v>
      </c>
      <c r="J92" s="280">
        <v>1</v>
      </c>
      <c r="K92" s="280">
        <v>1</v>
      </c>
      <c r="L92" s="280">
        <v>1</v>
      </c>
      <c r="M92" s="280">
        <v>1</v>
      </c>
      <c r="N92" s="280">
        <v>1</v>
      </c>
      <c r="O92" s="280">
        <v>1</v>
      </c>
      <c r="P92" s="280">
        <v>1</v>
      </c>
      <c r="Q92" s="280">
        <v>1</v>
      </c>
      <c r="R92" s="280">
        <v>1</v>
      </c>
      <c r="S92" s="280">
        <v>1</v>
      </c>
      <c r="T92" s="280">
        <v>1</v>
      </c>
      <c r="U92" s="280">
        <v>1</v>
      </c>
      <c r="V92" s="280">
        <v>1</v>
      </c>
      <c r="W92" s="280">
        <v>1</v>
      </c>
      <c r="X92" s="280">
        <v>1</v>
      </c>
      <c r="Y92" s="280">
        <v>1</v>
      </c>
      <c r="Z92" s="280">
        <v>1</v>
      </c>
      <c r="AA92" s="280">
        <v>1</v>
      </c>
      <c r="AB92" s="281">
        <v>1</v>
      </c>
    </row>
    <row r="93" spans="1:28" ht="15" customHeight="1" thickBot="1">
      <c r="A93" s="262"/>
      <c r="B93" s="263" t="s">
        <v>166</v>
      </c>
      <c r="C93" s="264"/>
      <c r="D93" s="265"/>
      <c r="E93" s="283">
        <v>0</v>
      </c>
      <c r="F93" s="283">
        <v>0</v>
      </c>
      <c r="G93" s="283">
        <v>0</v>
      </c>
      <c r="H93" s="283">
        <v>0</v>
      </c>
      <c r="I93" s="283">
        <v>0</v>
      </c>
      <c r="J93" s="283">
        <v>15</v>
      </c>
      <c r="K93" s="283">
        <v>33</v>
      </c>
      <c r="L93" s="283">
        <v>48</v>
      </c>
      <c r="M93" s="283">
        <v>55</v>
      </c>
      <c r="N93" s="283">
        <v>56</v>
      </c>
      <c r="O93" s="283">
        <v>57</v>
      </c>
      <c r="P93" s="283">
        <v>112</v>
      </c>
      <c r="Q93" s="283">
        <v>293</v>
      </c>
      <c r="R93" s="283">
        <v>446</v>
      </c>
      <c r="S93" s="283">
        <v>515</v>
      </c>
      <c r="T93" s="283">
        <v>466</v>
      </c>
      <c r="U93" s="283">
        <v>307</v>
      </c>
      <c r="V93" s="283">
        <v>2</v>
      </c>
      <c r="W93" s="283">
        <v>0</v>
      </c>
      <c r="X93" s="283">
        <v>0</v>
      </c>
      <c r="Y93" s="283">
        <v>0</v>
      </c>
      <c r="Z93" s="283">
        <v>0</v>
      </c>
      <c r="AA93" s="283">
        <v>0</v>
      </c>
      <c r="AB93" s="284">
        <v>0</v>
      </c>
    </row>
    <row r="94" spans="1:28" ht="15" customHeight="1">
      <c r="A94" s="266" t="s">
        <v>80</v>
      </c>
      <c r="B94" s="255" t="s">
        <v>164</v>
      </c>
      <c r="C94" s="256"/>
      <c r="D94" s="257"/>
      <c r="E94" s="277">
        <v>0</v>
      </c>
      <c r="F94" s="277">
        <v>0</v>
      </c>
      <c r="G94" s="277">
        <v>0</v>
      </c>
      <c r="H94" s="277">
        <v>0</v>
      </c>
      <c r="I94" s="277">
        <v>0</v>
      </c>
      <c r="J94" s="277">
        <v>0</v>
      </c>
      <c r="K94" s="277">
        <v>0</v>
      </c>
      <c r="L94" s="277">
        <v>0</v>
      </c>
      <c r="M94" s="277">
        <v>0</v>
      </c>
      <c r="N94" s="277">
        <v>0</v>
      </c>
      <c r="O94" s="277">
        <v>0</v>
      </c>
      <c r="P94" s="277">
        <v>0</v>
      </c>
      <c r="Q94" s="277">
        <v>0</v>
      </c>
      <c r="R94" s="277">
        <v>71</v>
      </c>
      <c r="S94" s="277">
        <v>199</v>
      </c>
      <c r="T94" s="277">
        <v>253</v>
      </c>
      <c r="U94" s="277">
        <v>208</v>
      </c>
      <c r="V94" s="277">
        <v>0</v>
      </c>
      <c r="W94" s="277">
        <v>0</v>
      </c>
      <c r="X94" s="277">
        <v>0</v>
      </c>
      <c r="Y94" s="277">
        <v>0</v>
      </c>
      <c r="Z94" s="277">
        <v>0</v>
      </c>
      <c r="AA94" s="277">
        <v>0</v>
      </c>
      <c r="AB94" s="278">
        <v>0</v>
      </c>
    </row>
    <row r="95" spans="1:28" ht="15" customHeight="1">
      <c r="A95" s="267"/>
      <c r="B95" s="259" t="s">
        <v>167</v>
      </c>
      <c r="C95" s="260"/>
      <c r="D95" s="261"/>
      <c r="E95" s="280">
        <v>1</v>
      </c>
      <c r="F95" s="280">
        <v>1</v>
      </c>
      <c r="G95" s="280">
        <v>1</v>
      </c>
      <c r="H95" s="280">
        <v>1</v>
      </c>
      <c r="I95" s="280">
        <v>1</v>
      </c>
      <c r="J95" s="280">
        <v>1</v>
      </c>
      <c r="K95" s="280">
        <v>1</v>
      </c>
      <c r="L95" s="280">
        <v>1</v>
      </c>
      <c r="M95" s="280">
        <v>1</v>
      </c>
      <c r="N95" s="280">
        <v>1</v>
      </c>
      <c r="O95" s="280">
        <v>1</v>
      </c>
      <c r="P95" s="280">
        <v>1</v>
      </c>
      <c r="Q95" s="280">
        <v>1</v>
      </c>
      <c r="R95" s="280">
        <v>1</v>
      </c>
      <c r="S95" s="280">
        <v>1</v>
      </c>
      <c r="T95" s="280">
        <v>1</v>
      </c>
      <c r="U95" s="280">
        <v>1</v>
      </c>
      <c r="V95" s="280">
        <v>1</v>
      </c>
      <c r="W95" s="280">
        <v>1</v>
      </c>
      <c r="X95" s="280">
        <v>1</v>
      </c>
      <c r="Y95" s="280">
        <v>1</v>
      </c>
      <c r="Z95" s="280">
        <v>1</v>
      </c>
      <c r="AA95" s="280">
        <v>1</v>
      </c>
      <c r="AB95" s="281">
        <v>1</v>
      </c>
    </row>
    <row r="96" spans="1:28" ht="15" customHeight="1" thickBot="1">
      <c r="A96" s="268"/>
      <c r="B96" s="263" t="s">
        <v>166</v>
      </c>
      <c r="C96" s="264"/>
      <c r="D96" s="265"/>
      <c r="E96" s="283">
        <v>0</v>
      </c>
      <c r="F96" s="283">
        <v>0</v>
      </c>
      <c r="G96" s="283">
        <v>0</v>
      </c>
      <c r="H96" s="283">
        <v>0</v>
      </c>
      <c r="I96" s="283">
        <v>0</v>
      </c>
      <c r="J96" s="283">
        <v>15</v>
      </c>
      <c r="K96" s="283">
        <v>33</v>
      </c>
      <c r="L96" s="283">
        <v>48</v>
      </c>
      <c r="M96" s="283">
        <v>55</v>
      </c>
      <c r="N96" s="283">
        <v>56</v>
      </c>
      <c r="O96" s="283">
        <v>57</v>
      </c>
      <c r="P96" s="283">
        <v>56</v>
      </c>
      <c r="Q96" s="283">
        <v>57</v>
      </c>
      <c r="R96" s="283">
        <v>127</v>
      </c>
      <c r="S96" s="283">
        <v>250</v>
      </c>
      <c r="T96" s="283">
        <v>292</v>
      </c>
      <c r="U96" s="283">
        <v>227</v>
      </c>
      <c r="V96" s="283">
        <v>2</v>
      </c>
      <c r="W96" s="283">
        <v>0</v>
      </c>
      <c r="X96" s="283">
        <v>0</v>
      </c>
      <c r="Y96" s="283">
        <v>0</v>
      </c>
      <c r="Z96" s="283">
        <v>0</v>
      </c>
      <c r="AA96" s="283">
        <v>0</v>
      </c>
      <c r="AB96" s="284">
        <v>0</v>
      </c>
    </row>
  </sheetData>
  <mergeCells count="108">
    <mergeCell ref="A94:A96"/>
    <mergeCell ref="B94:D94"/>
    <mergeCell ref="B95:D95"/>
    <mergeCell ref="B96:D96"/>
    <mergeCell ref="A88:A90"/>
    <mergeCell ref="B88:D88"/>
    <mergeCell ref="B89:D89"/>
    <mergeCell ref="B90:D90"/>
    <mergeCell ref="A91:A93"/>
    <mergeCell ref="B91:D91"/>
    <mergeCell ref="B92:D92"/>
    <mergeCell ref="B93:D93"/>
    <mergeCell ref="A82:A84"/>
    <mergeCell ref="B82:D82"/>
    <mergeCell ref="B83:D83"/>
    <mergeCell ref="B84:D84"/>
    <mergeCell ref="A85:A87"/>
    <mergeCell ref="B85:D85"/>
    <mergeCell ref="B86:D86"/>
    <mergeCell ref="B87:D87"/>
    <mergeCell ref="A76:A78"/>
    <mergeCell ref="B76:D76"/>
    <mergeCell ref="B77:D77"/>
    <mergeCell ref="B78:D78"/>
    <mergeCell ref="A79:A81"/>
    <mergeCell ref="B79:D79"/>
    <mergeCell ref="B80:D80"/>
    <mergeCell ref="B81:D81"/>
    <mergeCell ref="B71:D71"/>
    <mergeCell ref="B72:D72"/>
    <mergeCell ref="A73:A75"/>
    <mergeCell ref="B73:D73"/>
    <mergeCell ref="B74:D74"/>
    <mergeCell ref="B75:D75"/>
    <mergeCell ref="A65:A67"/>
    <mergeCell ref="B65:D65"/>
    <mergeCell ref="B66:D66"/>
    <mergeCell ref="B67:D67"/>
    <mergeCell ref="B69:D69"/>
    <mergeCell ref="B70:D70"/>
    <mergeCell ref="A59:A61"/>
    <mergeCell ref="B59:D59"/>
    <mergeCell ref="B60:D60"/>
    <mergeCell ref="B61:D61"/>
    <mergeCell ref="A62:A64"/>
    <mergeCell ref="B62:D62"/>
    <mergeCell ref="B63:D63"/>
    <mergeCell ref="B64:D64"/>
    <mergeCell ref="A53:A55"/>
    <mergeCell ref="B53:D53"/>
    <mergeCell ref="B54:D54"/>
    <mergeCell ref="B55:D55"/>
    <mergeCell ref="A56:A58"/>
    <mergeCell ref="B56:D56"/>
    <mergeCell ref="B57:D57"/>
    <mergeCell ref="B58:D58"/>
    <mergeCell ref="A47:A49"/>
    <mergeCell ref="B47:D47"/>
    <mergeCell ref="B48:D48"/>
    <mergeCell ref="B49:D49"/>
    <mergeCell ref="A50:A52"/>
    <mergeCell ref="B50:D50"/>
    <mergeCell ref="B51:D51"/>
    <mergeCell ref="B52:D52"/>
    <mergeCell ref="B42:D42"/>
    <mergeCell ref="B43:D43"/>
    <mergeCell ref="A44:A46"/>
    <mergeCell ref="B44:D44"/>
    <mergeCell ref="B45:D45"/>
    <mergeCell ref="B46:D46"/>
    <mergeCell ref="A36:A38"/>
    <mergeCell ref="B36:D36"/>
    <mergeCell ref="B37:D37"/>
    <mergeCell ref="B38:D38"/>
    <mergeCell ref="B40:D40"/>
    <mergeCell ref="B41:D41"/>
    <mergeCell ref="A30:A32"/>
    <mergeCell ref="B30:D30"/>
    <mergeCell ref="B31:D31"/>
    <mergeCell ref="B32:D32"/>
    <mergeCell ref="A33:A35"/>
    <mergeCell ref="B33:D33"/>
    <mergeCell ref="B34:D34"/>
    <mergeCell ref="B35:D35"/>
    <mergeCell ref="A24:A26"/>
    <mergeCell ref="B24:D24"/>
    <mergeCell ref="B25:D25"/>
    <mergeCell ref="B26:D26"/>
    <mergeCell ref="A27:A29"/>
    <mergeCell ref="B27:D27"/>
    <mergeCell ref="B28:D28"/>
    <mergeCell ref="B29:D29"/>
    <mergeCell ref="A18:A20"/>
    <mergeCell ref="B18:D18"/>
    <mergeCell ref="B19:D19"/>
    <mergeCell ref="B20:D20"/>
    <mergeCell ref="A21:A23"/>
    <mergeCell ref="B21:D21"/>
    <mergeCell ref="B22:D22"/>
    <mergeCell ref="B23:D23"/>
    <mergeCell ref="B11:D11"/>
    <mergeCell ref="B12:D12"/>
    <mergeCell ref="B13:D13"/>
    <mergeCell ref="B14:D14"/>
    <mergeCell ref="A15:A17"/>
    <mergeCell ref="B15:D15"/>
    <mergeCell ref="B16:D16"/>
    <mergeCell ref="B17:D17"/>
  </mergeCells>
  <phoneticPr fontId="3"/>
  <printOptions horizontalCentered="1"/>
  <pageMargins left="0.59055118110236227" right="0.47244094488188981" top="0.62992125984251968" bottom="0.39370078740157483" header="0.39370078740157483" footer="0.15748031496062992"/>
  <pageSetup paperSize="9" scale="62" fitToHeight="0" orientation="landscape" horizontalDpi="400" verticalDpi="400" r:id="rId1"/>
  <headerFooter scaleWithDoc="0">
    <oddFooter>&amp;C&amp;"ＭＳ Ｐゴシック,標準"&amp;9( &amp;P / &amp;N )</oddFooter>
  </headerFooter>
  <rowBreaks count="2" manualBreakCount="2">
    <brk id="38" max="16383" man="1"/>
    <brk id="67" max="2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96"/>
  <sheetViews>
    <sheetView showGridLines="0" zoomScale="80" zoomScaleNormal="80" workbookViewId="0">
      <selection sqref="A1:E1"/>
    </sheetView>
  </sheetViews>
  <sheetFormatPr defaultColWidth="8.42578125" defaultRowHeight="15" customHeight="1"/>
  <cols>
    <col min="1" max="1" width="7.7109375" style="108" customWidth="1"/>
    <col min="2" max="26" width="7.7109375" style="54" customWidth="1"/>
    <col min="27" max="16384" width="8.42578125" style="54"/>
  </cols>
  <sheetData>
    <row r="1" spans="1:28" s="53" customFormat="1" ht="26.1" customHeight="1">
      <c r="A1" s="225" t="s">
        <v>196</v>
      </c>
      <c r="B1" s="50"/>
      <c r="C1" s="50"/>
      <c r="D1" s="50"/>
      <c r="E1" s="50"/>
      <c r="F1" s="50"/>
      <c r="G1" s="50"/>
      <c r="H1" s="50"/>
      <c r="I1" s="50"/>
      <c r="J1" s="50"/>
      <c r="K1" s="50"/>
      <c r="L1" s="50"/>
      <c r="M1" s="50"/>
      <c r="N1" s="50"/>
      <c r="O1" s="50"/>
      <c r="P1" s="50"/>
      <c r="Q1" s="50"/>
      <c r="R1" s="50"/>
      <c r="S1" s="50"/>
      <c r="T1" s="50"/>
      <c r="U1" s="50"/>
      <c r="V1" s="50"/>
      <c r="W1" s="50"/>
      <c r="X1" s="50"/>
      <c r="Y1" s="50"/>
      <c r="Z1" s="50"/>
      <c r="AA1" s="50"/>
      <c r="AB1" s="52"/>
    </row>
    <row r="2" spans="1:28" ht="15" customHeight="1">
      <c r="V2" s="226"/>
      <c r="W2" s="226"/>
    </row>
    <row r="3" spans="1:28" ht="15" customHeight="1">
      <c r="A3" s="108" t="s">
        <v>147</v>
      </c>
      <c r="C3" s="227" t="s">
        <v>23</v>
      </c>
      <c r="D3" s="227"/>
      <c r="E3" s="61"/>
      <c r="F3" s="61"/>
      <c r="O3" s="61"/>
      <c r="P3" s="61"/>
      <c r="Q3" s="61"/>
      <c r="R3" s="61"/>
      <c r="S3" s="61"/>
      <c r="T3" s="61"/>
      <c r="U3" s="61"/>
      <c r="V3" s="226"/>
      <c r="W3" s="54" t="s">
        <v>148</v>
      </c>
    </row>
    <row r="4" spans="1:28" ht="15" customHeight="1">
      <c r="A4" s="108" t="s">
        <v>149</v>
      </c>
      <c r="C4" s="227" t="s">
        <v>197</v>
      </c>
      <c r="D4" s="227"/>
      <c r="E4" s="61"/>
      <c r="F4" s="61"/>
      <c r="O4" s="228" t="s">
        <v>150</v>
      </c>
      <c r="P4" s="229"/>
      <c r="Q4" s="229"/>
      <c r="R4" s="229"/>
      <c r="S4" s="229"/>
      <c r="T4" s="229"/>
      <c r="U4" s="230"/>
      <c r="V4" s="226"/>
      <c r="W4" s="170" t="s">
        <v>186</v>
      </c>
    </row>
    <row r="5" spans="1:28" ht="15" customHeight="1">
      <c r="O5" s="231" t="s">
        <v>79</v>
      </c>
      <c r="P5" s="232" t="s">
        <v>151</v>
      </c>
      <c r="Q5" s="232" t="s">
        <v>152</v>
      </c>
      <c r="R5" s="232" t="s">
        <v>153</v>
      </c>
      <c r="S5" s="232" t="s">
        <v>154</v>
      </c>
      <c r="T5" s="232" t="s">
        <v>155</v>
      </c>
      <c r="U5" s="233" t="s">
        <v>156</v>
      </c>
      <c r="W5" s="170" t="s">
        <v>187</v>
      </c>
    </row>
    <row r="6" spans="1:28" ht="15" customHeight="1">
      <c r="O6" s="234">
        <v>2700</v>
      </c>
      <c r="P6" s="235">
        <v>400</v>
      </c>
      <c r="Q6" s="235">
        <v>6300</v>
      </c>
      <c r="R6" s="235">
        <v>6300</v>
      </c>
      <c r="S6" s="235">
        <v>14285</v>
      </c>
      <c r="T6" s="235">
        <v>1750</v>
      </c>
      <c r="U6" s="236">
        <v>935</v>
      </c>
      <c r="W6" s="170" t="s">
        <v>188</v>
      </c>
    </row>
    <row r="7" spans="1:28" ht="15" customHeight="1">
      <c r="Q7" s="226"/>
      <c r="R7" s="226"/>
      <c r="S7" s="226"/>
      <c r="T7" s="226"/>
      <c r="U7" s="226"/>
      <c r="W7" s="170" t="s">
        <v>189</v>
      </c>
    </row>
    <row r="8" spans="1:28" ht="15" customHeight="1">
      <c r="P8" s="226"/>
      <c r="Q8" s="226"/>
      <c r="R8" s="226"/>
      <c r="S8" s="226"/>
      <c r="T8" s="226"/>
      <c r="U8" s="226"/>
      <c r="W8" s="170" t="s">
        <v>190</v>
      </c>
    </row>
    <row r="9" spans="1:28" ht="15" customHeight="1" thickBot="1">
      <c r="G9" s="54" t="s">
        <v>157</v>
      </c>
      <c r="L9" s="54" t="s">
        <v>158</v>
      </c>
      <c r="P9" s="226"/>
      <c r="Q9" s="226"/>
      <c r="R9" s="226"/>
      <c r="S9" s="226"/>
      <c r="T9" s="226"/>
      <c r="U9" s="226"/>
      <c r="W9" s="83" t="s">
        <v>191</v>
      </c>
    </row>
    <row r="10" spans="1:28" ht="15" customHeight="1">
      <c r="A10" s="237" t="s">
        <v>71</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146"/>
    </row>
    <row r="11" spans="1:28" ht="15" customHeight="1">
      <c r="A11" s="238"/>
      <c r="B11" s="239"/>
      <c r="C11" s="240"/>
      <c r="D11" s="241"/>
      <c r="E11" s="148">
        <v>1</v>
      </c>
      <c r="F11" s="149">
        <v>2</v>
      </c>
      <c r="G11" s="149">
        <v>3</v>
      </c>
      <c r="H11" s="149">
        <v>4</v>
      </c>
      <c r="I11" s="149">
        <v>5</v>
      </c>
      <c r="J11" s="149">
        <v>6</v>
      </c>
      <c r="K11" s="149">
        <v>7</v>
      </c>
      <c r="L11" s="149">
        <v>8</v>
      </c>
      <c r="M11" s="149">
        <v>9</v>
      </c>
      <c r="N11" s="149">
        <v>10</v>
      </c>
      <c r="O11" s="149">
        <v>11</v>
      </c>
      <c r="P11" s="149">
        <v>12</v>
      </c>
      <c r="Q11" s="149">
        <v>13</v>
      </c>
      <c r="R11" s="149">
        <v>14</v>
      </c>
      <c r="S11" s="149">
        <v>15</v>
      </c>
      <c r="T11" s="149">
        <v>16</v>
      </c>
      <c r="U11" s="149">
        <v>17</v>
      </c>
      <c r="V11" s="149">
        <v>18</v>
      </c>
      <c r="W11" s="151">
        <v>19</v>
      </c>
      <c r="X11" s="151">
        <v>20</v>
      </c>
      <c r="Y11" s="151">
        <v>21</v>
      </c>
      <c r="Z11" s="151">
        <v>22</v>
      </c>
      <c r="AA11" s="151">
        <v>23</v>
      </c>
      <c r="AB11" s="152">
        <v>24</v>
      </c>
    </row>
    <row r="12" spans="1:28" ht="15" customHeight="1" thickBot="1">
      <c r="A12" s="242" t="s">
        <v>159</v>
      </c>
      <c r="B12" s="243" t="s">
        <v>160</v>
      </c>
      <c r="C12" s="244"/>
      <c r="D12" s="245"/>
      <c r="E12" s="246">
        <v>0</v>
      </c>
      <c r="F12" s="247">
        <v>0</v>
      </c>
      <c r="G12" s="247">
        <v>0</v>
      </c>
      <c r="H12" s="247">
        <v>0</v>
      </c>
      <c r="I12" s="247">
        <v>7</v>
      </c>
      <c r="J12" s="247">
        <v>56</v>
      </c>
      <c r="K12" s="247">
        <v>120</v>
      </c>
      <c r="L12" s="247">
        <v>187</v>
      </c>
      <c r="M12" s="247">
        <v>247</v>
      </c>
      <c r="N12" s="247">
        <v>294</v>
      </c>
      <c r="O12" s="247">
        <v>321</v>
      </c>
      <c r="P12" s="247">
        <v>325</v>
      </c>
      <c r="Q12" s="247">
        <v>307</v>
      </c>
      <c r="R12" s="247">
        <v>272</v>
      </c>
      <c r="S12" s="247">
        <v>220</v>
      </c>
      <c r="T12" s="247">
        <v>158</v>
      </c>
      <c r="U12" s="247">
        <v>94</v>
      </c>
      <c r="V12" s="247">
        <v>24</v>
      </c>
      <c r="W12" s="247">
        <v>0</v>
      </c>
      <c r="X12" s="247">
        <v>0</v>
      </c>
      <c r="Y12" s="247">
        <v>0</v>
      </c>
      <c r="Z12" s="247">
        <v>0</v>
      </c>
      <c r="AA12" s="247">
        <v>0</v>
      </c>
      <c r="AB12" s="248">
        <v>0</v>
      </c>
    </row>
    <row r="13" spans="1:28" ht="15" customHeight="1" thickBot="1">
      <c r="A13" s="249" t="s">
        <v>192</v>
      </c>
      <c r="B13" s="250" t="s">
        <v>162</v>
      </c>
      <c r="C13" s="251"/>
      <c r="D13" s="252"/>
      <c r="E13" s="273">
        <v>0</v>
      </c>
      <c r="F13" s="274">
        <v>0</v>
      </c>
      <c r="G13" s="274">
        <v>0</v>
      </c>
      <c r="H13" s="274">
        <v>0</v>
      </c>
      <c r="I13" s="274">
        <v>3</v>
      </c>
      <c r="J13" s="274">
        <v>25</v>
      </c>
      <c r="K13" s="274">
        <v>49</v>
      </c>
      <c r="L13" s="274">
        <v>71</v>
      </c>
      <c r="M13" s="274">
        <v>86</v>
      </c>
      <c r="N13" s="274">
        <v>93</v>
      </c>
      <c r="O13" s="274">
        <v>95</v>
      </c>
      <c r="P13" s="274">
        <v>94</v>
      </c>
      <c r="Q13" s="274">
        <v>93</v>
      </c>
      <c r="R13" s="274">
        <v>90</v>
      </c>
      <c r="S13" s="274">
        <v>80</v>
      </c>
      <c r="T13" s="274">
        <v>63</v>
      </c>
      <c r="U13" s="274">
        <v>39</v>
      </c>
      <c r="V13" s="274">
        <v>12</v>
      </c>
      <c r="W13" s="274">
        <v>0</v>
      </c>
      <c r="X13" s="274">
        <v>0</v>
      </c>
      <c r="Y13" s="274">
        <v>0</v>
      </c>
      <c r="Z13" s="274">
        <v>0</v>
      </c>
      <c r="AA13" s="274">
        <v>0</v>
      </c>
      <c r="AB13" s="275">
        <v>0</v>
      </c>
    </row>
    <row r="14" spans="1:28" ht="15" customHeight="1" thickBot="1">
      <c r="A14" s="253" t="s">
        <v>72</v>
      </c>
      <c r="B14" s="250" t="s">
        <v>163</v>
      </c>
      <c r="C14" s="251"/>
      <c r="D14" s="252"/>
      <c r="E14" s="273">
        <v>0</v>
      </c>
      <c r="F14" s="274">
        <v>0</v>
      </c>
      <c r="G14" s="274">
        <v>0</v>
      </c>
      <c r="H14" s="274">
        <v>0</v>
      </c>
      <c r="I14" s="274">
        <v>6</v>
      </c>
      <c r="J14" s="274">
        <v>56</v>
      </c>
      <c r="K14" s="274">
        <v>121</v>
      </c>
      <c r="L14" s="274">
        <v>187</v>
      </c>
      <c r="M14" s="274">
        <v>248</v>
      </c>
      <c r="N14" s="274">
        <v>295</v>
      </c>
      <c r="O14" s="274">
        <v>322</v>
      </c>
      <c r="P14" s="274">
        <v>327</v>
      </c>
      <c r="Q14" s="274">
        <v>308</v>
      </c>
      <c r="R14" s="274">
        <v>273</v>
      </c>
      <c r="S14" s="274">
        <v>221</v>
      </c>
      <c r="T14" s="274">
        <v>158</v>
      </c>
      <c r="U14" s="274">
        <v>94</v>
      </c>
      <c r="V14" s="274">
        <v>25</v>
      </c>
      <c r="W14" s="274">
        <v>0</v>
      </c>
      <c r="X14" s="274">
        <v>0</v>
      </c>
      <c r="Y14" s="274">
        <v>0</v>
      </c>
      <c r="Z14" s="274">
        <v>0</v>
      </c>
      <c r="AA14" s="274">
        <v>0</v>
      </c>
      <c r="AB14" s="275">
        <v>0</v>
      </c>
    </row>
    <row r="15" spans="1:28" ht="15" customHeight="1">
      <c r="A15" s="254" t="s">
        <v>73</v>
      </c>
      <c r="B15" s="255" t="s">
        <v>164</v>
      </c>
      <c r="C15" s="256"/>
      <c r="D15" s="257"/>
      <c r="E15" s="276">
        <v>0</v>
      </c>
      <c r="F15" s="277">
        <v>0</v>
      </c>
      <c r="G15" s="277">
        <v>0</v>
      </c>
      <c r="H15" s="277">
        <v>0</v>
      </c>
      <c r="I15" s="277">
        <v>3</v>
      </c>
      <c r="J15" s="277">
        <v>4</v>
      </c>
      <c r="K15" s="277">
        <v>0</v>
      </c>
      <c r="L15" s="277">
        <v>0</v>
      </c>
      <c r="M15" s="277">
        <v>0</v>
      </c>
      <c r="N15" s="277">
        <v>0</v>
      </c>
      <c r="O15" s="277">
        <v>0</v>
      </c>
      <c r="P15" s="277">
        <v>0</v>
      </c>
      <c r="Q15" s="277">
        <v>0</v>
      </c>
      <c r="R15" s="277">
        <v>0</v>
      </c>
      <c r="S15" s="277">
        <v>0</v>
      </c>
      <c r="T15" s="277">
        <v>10</v>
      </c>
      <c r="U15" s="277">
        <v>32</v>
      </c>
      <c r="V15" s="277">
        <v>17</v>
      </c>
      <c r="W15" s="277">
        <v>0</v>
      </c>
      <c r="X15" s="277">
        <v>0</v>
      </c>
      <c r="Y15" s="277">
        <v>0</v>
      </c>
      <c r="Z15" s="277">
        <v>0</v>
      </c>
      <c r="AA15" s="277">
        <v>0</v>
      </c>
      <c r="AB15" s="278">
        <v>0</v>
      </c>
    </row>
    <row r="16" spans="1:28" ht="15" customHeight="1">
      <c r="A16" s="258"/>
      <c r="B16" s="259" t="s">
        <v>193</v>
      </c>
      <c r="C16" s="260"/>
      <c r="D16" s="261"/>
      <c r="E16" s="279">
        <v>0</v>
      </c>
      <c r="F16" s="280">
        <v>0</v>
      </c>
      <c r="G16" s="280">
        <v>0</v>
      </c>
      <c r="H16" s="280">
        <v>0</v>
      </c>
      <c r="I16" s="280">
        <v>0</v>
      </c>
      <c r="J16" s="280">
        <v>0</v>
      </c>
      <c r="K16" s="280">
        <v>0</v>
      </c>
      <c r="L16" s="280">
        <v>0</v>
      </c>
      <c r="M16" s="280">
        <v>0</v>
      </c>
      <c r="N16" s="280">
        <v>0</v>
      </c>
      <c r="O16" s="280">
        <v>0</v>
      </c>
      <c r="P16" s="280">
        <v>0</v>
      </c>
      <c r="Q16" s="280">
        <v>0</v>
      </c>
      <c r="R16" s="280">
        <v>0</v>
      </c>
      <c r="S16" s="280">
        <v>0</v>
      </c>
      <c r="T16" s="280">
        <v>0</v>
      </c>
      <c r="U16" s="280">
        <v>0.73499999999999999</v>
      </c>
      <c r="V16" s="280">
        <v>0.84099999999999997</v>
      </c>
      <c r="W16" s="280">
        <v>0</v>
      </c>
      <c r="X16" s="280">
        <v>0</v>
      </c>
      <c r="Y16" s="280">
        <v>0</v>
      </c>
      <c r="Z16" s="280">
        <v>0</v>
      </c>
      <c r="AA16" s="280">
        <v>0</v>
      </c>
      <c r="AB16" s="281">
        <v>0</v>
      </c>
    </row>
    <row r="17" spans="1:28" ht="15" customHeight="1" thickBot="1">
      <c r="A17" s="262"/>
      <c r="B17" s="263" t="s">
        <v>166</v>
      </c>
      <c r="C17" s="264"/>
      <c r="D17" s="265"/>
      <c r="E17" s="282">
        <v>0</v>
      </c>
      <c r="F17" s="283">
        <v>0</v>
      </c>
      <c r="G17" s="283">
        <v>0</v>
      </c>
      <c r="H17" s="283">
        <v>0</v>
      </c>
      <c r="I17" s="283">
        <v>3</v>
      </c>
      <c r="J17" s="283">
        <v>25</v>
      </c>
      <c r="K17" s="283">
        <v>49</v>
      </c>
      <c r="L17" s="283">
        <v>71</v>
      </c>
      <c r="M17" s="283">
        <v>86</v>
      </c>
      <c r="N17" s="283">
        <v>93</v>
      </c>
      <c r="O17" s="283">
        <v>95</v>
      </c>
      <c r="P17" s="283">
        <v>94</v>
      </c>
      <c r="Q17" s="283">
        <v>93</v>
      </c>
      <c r="R17" s="283">
        <v>90</v>
      </c>
      <c r="S17" s="283">
        <v>80</v>
      </c>
      <c r="T17" s="283">
        <v>63</v>
      </c>
      <c r="U17" s="283">
        <v>62</v>
      </c>
      <c r="V17" s="283">
        <v>26</v>
      </c>
      <c r="W17" s="283">
        <v>0</v>
      </c>
      <c r="X17" s="283">
        <v>0</v>
      </c>
      <c r="Y17" s="283">
        <v>0</v>
      </c>
      <c r="Z17" s="283">
        <v>0</v>
      </c>
      <c r="AA17" s="283">
        <v>0</v>
      </c>
      <c r="AB17" s="284">
        <v>0</v>
      </c>
    </row>
    <row r="18" spans="1:28" ht="15" customHeight="1">
      <c r="A18" s="254" t="s">
        <v>74</v>
      </c>
      <c r="B18" s="255" t="s">
        <v>164</v>
      </c>
      <c r="C18" s="256"/>
      <c r="D18" s="257"/>
      <c r="E18" s="276">
        <v>0</v>
      </c>
      <c r="F18" s="277">
        <v>0</v>
      </c>
      <c r="G18" s="277">
        <v>0</v>
      </c>
      <c r="H18" s="277">
        <v>0</v>
      </c>
      <c r="I18" s="277">
        <v>16</v>
      </c>
      <c r="J18" s="277">
        <v>129</v>
      </c>
      <c r="K18" s="277">
        <v>138</v>
      </c>
      <c r="L18" s="277">
        <v>126</v>
      </c>
      <c r="M18" s="277">
        <v>65</v>
      </c>
      <c r="N18" s="277">
        <v>6</v>
      </c>
      <c r="O18" s="277">
        <v>0</v>
      </c>
      <c r="P18" s="277">
        <v>0</v>
      </c>
      <c r="Q18" s="277">
        <v>0</v>
      </c>
      <c r="R18" s="277">
        <v>0</v>
      </c>
      <c r="S18" s="277">
        <v>0</v>
      </c>
      <c r="T18" s="277">
        <v>0</v>
      </c>
      <c r="U18" s="277">
        <v>0</v>
      </c>
      <c r="V18" s="277">
        <v>0</v>
      </c>
      <c r="W18" s="277">
        <v>0</v>
      </c>
      <c r="X18" s="277">
        <v>0</v>
      </c>
      <c r="Y18" s="277">
        <v>0</v>
      </c>
      <c r="Z18" s="277">
        <v>0</v>
      </c>
      <c r="AA18" s="277">
        <v>0</v>
      </c>
      <c r="AB18" s="278">
        <v>0</v>
      </c>
    </row>
    <row r="19" spans="1:28" ht="15" customHeight="1">
      <c r="A19" s="258"/>
      <c r="B19" s="259" t="s">
        <v>194</v>
      </c>
      <c r="C19" s="260"/>
      <c r="D19" s="261"/>
      <c r="E19" s="279">
        <v>0</v>
      </c>
      <c r="F19" s="280">
        <v>0</v>
      </c>
      <c r="G19" s="280">
        <v>0</v>
      </c>
      <c r="H19" s="280">
        <v>0</v>
      </c>
      <c r="I19" s="280">
        <v>0.96599999999999997</v>
      </c>
      <c r="J19" s="280">
        <v>0.95199999999999996</v>
      </c>
      <c r="K19" s="280">
        <v>0.93700000000000006</v>
      </c>
      <c r="L19" s="280">
        <v>0.91400000000000003</v>
      </c>
      <c r="M19" s="280">
        <v>0.86899999999999999</v>
      </c>
      <c r="N19" s="280">
        <v>0</v>
      </c>
      <c r="O19" s="280">
        <v>0</v>
      </c>
      <c r="P19" s="280">
        <v>0</v>
      </c>
      <c r="Q19" s="280">
        <v>0</v>
      </c>
      <c r="R19" s="280">
        <v>0</v>
      </c>
      <c r="S19" s="280">
        <v>0</v>
      </c>
      <c r="T19" s="280">
        <v>0</v>
      </c>
      <c r="U19" s="280">
        <v>0</v>
      </c>
      <c r="V19" s="280">
        <v>0</v>
      </c>
      <c r="W19" s="280">
        <v>0</v>
      </c>
      <c r="X19" s="280">
        <v>0</v>
      </c>
      <c r="Y19" s="280">
        <v>0</v>
      </c>
      <c r="Z19" s="280">
        <v>0</v>
      </c>
      <c r="AA19" s="280">
        <v>0</v>
      </c>
      <c r="AB19" s="281">
        <v>0</v>
      </c>
    </row>
    <row r="20" spans="1:28" ht="15" customHeight="1" thickBot="1">
      <c r="A20" s="262"/>
      <c r="B20" s="263" t="s">
        <v>166</v>
      </c>
      <c r="C20" s="264"/>
      <c r="D20" s="265"/>
      <c r="E20" s="282">
        <v>0</v>
      </c>
      <c r="F20" s="283">
        <v>0</v>
      </c>
      <c r="G20" s="283">
        <v>0</v>
      </c>
      <c r="H20" s="283">
        <v>0</v>
      </c>
      <c r="I20" s="283">
        <v>18</v>
      </c>
      <c r="J20" s="283">
        <v>148</v>
      </c>
      <c r="K20" s="283">
        <v>178</v>
      </c>
      <c r="L20" s="283">
        <v>186</v>
      </c>
      <c r="M20" s="283">
        <v>143</v>
      </c>
      <c r="N20" s="283">
        <v>93</v>
      </c>
      <c r="O20" s="283">
        <v>95</v>
      </c>
      <c r="P20" s="283">
        <v>94</v>
      </c>
      <c r="Q20" s="283">
        <v>93</v>
      </c>
      <c r="R20" s="283">
        <v>90</v>
      </c>
      <c r="S20" s="283">
        <v>80</v>
      </c>
      <c r="T20" s="283">
        <v>63</v>
      </c>
      <c r="U20" s="283">
        <v>39</v>
      </c>
      <c r="V20" s="283">
        <v>12</v>
      </c>
      <c r="W20" s="283">
        <v>0</v>
      </c>
      <c r="X20" s="283">
        <v>0</v>
      </c>
      <c r="Y20" s="283">
        <v>0</v>
      </c>
      <c r="Z20" s="283">
        <v>0</v>
      </c>
      <c r="AA20" s="283">
        <v>0</v>
      </c>
      <c r="AB20" s="284">
        <v>0</v>
      </c>
    </row>
    <row r="21" spans="1:28" ht="15" customHeight="1">
      <c r="A21" s="254" t="s">
        <v>75</v>
      </c>
      <c r="B21" s="255" t="s">
        <v>164</v>
      </c>
      <c r="C21" s="256"/>
      <c r="D21" s="257"/>
      <c r="E21" s="276">
        <v>0</v>
      </c>
      <c r="F21" s="277">
        <v>0</v>
      </c>
      <c r="G21" s="277">
        <v>0</v>
      </c>
      <c r="H21" s="277">
        <v>0</v>
      </c>
      <c r="I21" s="277">
        <v>17</v>
      </c>
      <c r="J21" s="277">
        <v>164</v>
      </c>
      <c r="K21" s="277">
        <v>207</v>
      </c>
      <c r="L21" s="277">
        <v>242</v>
      </c>
      <c r="M21" s="277">
        <v>217</v>
      </c>
      <c r="N21" s="277">
        <v>137</v>
      </c>
      <c r="O21" s="277">
        <v>31</v>
      </c>
      <c r="P21" s="277">
        <v>0</v>
      </c>
      <c r="Q21" s="277">
        <v>0</v>
      </c>
      <c r="R21" s="277">
        <v>0</v>
      </c>
      <c r="S21" s="277">
        <v>0</v>
      </c>
      <c r="T21" s="277">
        <v>0</v>
      </c>
      <c r="U21" s="277">
        <v>0</v>
      </c>
      <c r="V21" s="277">
        <v>0</v>
      </c>
      <c r="W21" s="277">
        <v>0</v>
      </c>
      <c r="X21" s="277">
        <v>0</v>
      </c>
      <c r="Y21" s="277">
        <v>0</v>
      </c>
      <c r="Z21" s="277">
        <v>0</v>
      </c>
      <c r="AA21" s="277">
        <v>0</v>
      </c>
      <c r="AB21" s="278">
        <v>0</v>
      </c>
    </row>
    <row r="22" spans="1:28" ht="15" customHeight="1">
      <c r="A22" s="258"/>
      <c r="B22" s="259" t="s">
        <v>193</v>
      </c>
      <c r="C22" s="260"/>
      <c r="D22" s="261"/>
      <c r="E22" s="279">
        <v>0</v>
      </c>
      <c r="F22" s="280">
        <v>0</v>
      </c>
      <c r="G22" s="280">
        <v>0</v>
      </c>
      <c r="H22" s="280">
        <v>0</v>
      </c>
      <c r="I22" s="280">
        <v>0.98099999999999998</v>
      </c>
      <c r="J22" s="280">
        <v>0.99099999999999999</v>
      </c>
      <c r="K22" s="280">
        <v>1</v>
      </c>
      <c r="L22" s="280">
        <v>0.99</v>
      </c>
      <c r="M22" s="280">
        <v>0.97799999999999998</v>
      </c>
      <c r="N22" s="280">
        <v>0.95599999999999996</v>
      </c>
      <c r="O22" s="280">
        <v>0</v>
      </c>
      <c r="P22" s="280">
        <v>0</v>
      </c>
      <c r="Q22" s="280">
        <v>0</v>
      </c>
      <c r="R22" s="280">
        <v>0</v>
      </c>
      <c r="S22" s="280">
        <v>0</v>
      </c>
      <c r="T22" s="280">
        <v>0</v>
      </c>
      <c r="U22" s="280">
        <v>0</v>
      </c>
      <c r="V22" s="280">
        <v>0</v>
      </c>
      <c r="W22" s="280">
        <v>0</v>
      </c>
      <c r="X22" s="280">
        <v>0</v>
      </c>
      <c r="Y22" s="280">
        <v>0</v>
      </c>
      <c r="Z22" s="280">
        <v>0</v>
      </c>
      <c r="AA22" s="280">
        <v>0</v>
      </c>
      <c r="AB22" s="281">
        <v>0</v>
      </c>
    </row>
    <row r="23" spans="1:28" ht="15" customHeight="1" thickBot="1">
      <c r="A23" s="262"/>
      <c r="B23" s="263" t="s">
        <v>166</v>
      </c>
      <c r="C23" s="264"/>
      <c r="D23" s="265"/>
      <c r="E23" s="282">
        <v>0</v>
      </c>
      <c r="F23" s="283">
        <v>0</v>
      </c>
      <c r="G23" s="283">
        <v>0</v>
      </c>
      <c r="H23" s="283">
        <v>0</v>
      </c>
      <c r="I23" s="283">
        <v>20</v>
      </c>
      <c r="J23" s="283">
        <v>188</v>
      </c>
      <c r="K23" s="283">
        <v>256</v>
      </c>
      <c r="L23" s="283">
        <v>311</v>
      </c>
      <c r="M23" s="283">
        <v>299</v>
      </c>
      <c r="N23" s="283">
        <v>224</v>
      </c>
      <c r="O23" s="283">
        <v>95</v>
      </c>
      <c r="P23" s="283">
        <v>94</v>
      </c>
      <c r="Q23" s="283">
        <v>93</v>
      </c>
      <c r="R23" s="283">
        <v>90</v>
      </c>
      <c r="S23" s="283">
        <v>80</v>
      </c>
      <c r="T23" s="283">
        <v>63</v>
      </c>
      <c r="U23" s="283">
        <v>39</v>
      </c>
      <c r="V23" s="283">
        <v>12</v>
      </c>
      <c r="W23" s="283">
        <v>0</v>
      </c>
      <c r="X23" s="283">
        <v>0</v>
      </c>
      <c r="Y23" s="283">
        <v>0</v>
      </c>
      <c r="Z23" s="283">
        <v>0</v>
      </c>
      <c r="AA23" s="283">
        <v>0</v>
      </c>
      <c r="AB23" s="284">
        <v>0</v>
      </c>
    </row>
    <row r="24" spans="1:28" ht="15" customHeight="1">
      <c r="A24" s="254" t="s">
        <v>76</v>
      </c>
      <c r="B24" s="255" t="s">
        <v>164</v>
      </c>
      <c r="C24" s="256"/>
      <c r="D24" s="257"/>
      <c r="E24" s="276">
        <v>0</v>
      </c>
      <c r="F24" s="277">
        <v>0</v>
      </c>
      <c r="G24" s="277">
        <v>0</v>
      </c>
      <c r="H24" s="277">
        <v>0</v>
      </c>
      <c r="I24" s="277">
        <v>8</v>
      </c>
      <c r="J24" s="277">
        <v>95</v>
      </c>
      <c r="K24" s="277">
        <v>142</v>
      </c>
      <c r="L24" s="277">
        <v>194</v>
      </c>
      <c r="M24" s="277">
        <v>208</v>
      </c>
      <c r="N24" s="277">
        <v>180</v>
      </c>
      <c r="O24" s="277">
        <v>113</v>
      </c>
      <c r="P24" s="277">
        <v>27</v>
      </c>
      <c r="Q24" s="277">
        <v>0</v>
      </c>
      <c r="R24" s="277">
        <v>0</v>
      </c>
      <c r="S24" s="277">
        <v>0</v>
      </c>
      <c r="T24" s="277">
        <v>0</v>
      </c>
      <c r="U24" s="277">
        <v>0</v>
      </c>
      <c r="V24" s="277">
        <v>0</v>
      </c>
      <c r="W24" s="277">
        <v>0</v>
      </c>
      <c r="X24" s="277">
        <v>0</v>
      </c>
      <c r="Y24" s="277">
        <v>0</v>
      </c>
      <c r="Z24" s="277">
        <v>0</v>
      </c>
      <c r="AA24" s="277">
        <v>0</v>
      </c>
      <c r="AB24" s="278">
        <v>0</v>
      </c>
    </row>
    <row r="25" spans="1:28" ht="15" customHeight="1">
      <c r="A25" s="258"/>
      <c r="B25" s="259" t="s">
        <v>194</v>
      </c>
      <c r="C25" s="260"/>
      <c r="D25" s="261"/>
      <c r="E25" s="279">
        <v>0</v>
      </c>
      <c r="F25" s="280">
        <v>0</v>
      </c>
      <c r="G25" s="280">
        <v>0</v>
      </c>
      <c r="H25" s="280">
        <v>0</v>
      </c>
      <c r="I25" s="280">
        <v>0.88300000000000001</v>
      </c>
      <c r="J25" s="280">
        <v>0.91500000000000004</v>
      </c>
      <c r="K25" s="280">
        <v>0.93700000000000006</v>
      </c>
      <c r="L25" s="280">
        <v>0.95299999999999996</v>
      </c>
      <c r="M25" s="280">
        <v>0.97</v>
      </c>
      <c r="N25" s="280">
        <v>0.98799999999999999</v>
      </c>
      <c r="O25" s="280">
        <v>0.98199999999999998</v>
      </c>
      <c r="P25" s="280">
        <v>0</v>
      </c>
      <c r="Q25" s="280">
        <v>0</v>
      </c>
      <c r="R25" s="280">
        <v>0</v>
      </c>
      <c r="S25" s="280">
        <v>0</v>
      </c>
      <c r="T25" s="280">
        <v>0</v>
      </c>
      <c r="U25" s="280">
        <v>0</v>
      </c>
      <c r="V25" s="280">
        <v>0</v>
      </c>
      <c r="W25" s="280">
        <v>0</v>
      </c>
      <c r="X25" s="280">
        <v>0</v>
      </c>
      <c r="Y25" s="280">
        <v>0</v>
      </c>
      <c r="Z25" s="280">
        <v>0</v>
      </c>
      <c r="AA25" s="280">
        <v>0</v>
      </c>
      <c r="AB25" s="281">
        <v>0</v>
      </c>
    </row>
    <row r="26" spans="1:28" ht="15" customHeight="1" thickBot="1">
      <c r="A26" s="262"/>
      <c r="B26" s="263" t="s">
        <v>166</v>
      </c>
      <c r="C26" s="264"/>
      <c r="D26" s="265"/>
      <c r="E26" s="282">
        <v>0</v>
      </c>
      <c r="F26" s="283">
        <v>0</v>
      </c>
      <c r="G26" s="283">
        <v>0</v>
      </c>
      <c r="H26" s="283">
        <v>0</v>
      </c>
      <c r="I26" s="283">
        <v>10</v>
      </c>
      <c r="J26" s="283">
        <v>112</v>
      </c>
      <c r="K26" s="283">
        <v>182</v>
      </c>
      <c r="L26" s="283">
        <v>256</v>
      </c>
      <c r="M26" s="283">
        <v>288</v>
      </c>
      <c r="N26" s="283">
        <v>271</v>
      </c>
      <c r="O26" s="283">
        <v>206</v>
      </c>
      <c r="P26" s="283">
        <v>94</v>
      </c>
      <c r="Q26" s="283">
        <v>93</v>
      </c>
      <c r="R26" s="283">
        <v>90</v>
      </c>
      <c r="S26" s="283">
        <v>80</v>
      </c>
      <c r="T26" s="283">
        <v>63</v>
      </c>
      <c r="U26" s="283">
        <v>39</v>
      </c>
      <c r="V26" s="283">
        <v>12</v>
      </c>
      <c r="W26" s="283">
        <v>0</v>
      </c>
      <c r="X26" s="283">
        <v>0</v>
      </c>
      <c r="Y26" s="283">
        <v>0</v>
      </c>
      <c r="Z26" s="283">
        <v>0</v>
      </c>
      <c r="AA26" s="283">
        <v>0</v>
      </c>
      <c r="AB26" s="284">
        <v>0</v>
      </c>
    </row>
    <row r="27" spans="1:28" ht="15" customHeight="1">
      <c r="A27" s="254" t="s">
        <v>77</v>
      </c>
      <c r="B27" s="255" t="s">
        <v>164</v>
      </c>
      <c r="C27" s="256"/>
      <c r="D27" s="257"/>
      <c r="E27" s="276">
        <v>0</v>
      </c>
      <c r="F27" s="277">
        <v>0</v>
      </c>
      <c r="G27" s="277">
        <v>0</v>
      </c>
      <c r="H27" s="277">
        <v>0</v>
      </c>
      <c r="I27" s="277">
        <v>0</v>
      </c>
      <c r="J27" s="277">
        <v>0</v>
      </c>
      <c r="K27" s="277">
        <v>0</v>
      </c>
      <c r="L27" s="277">
        <v>20</v>
      </c>
      <c r="M27" s="277">
        <v>54</v>
      </c>
      <c r="N27" s="277">
        <v>85</v>
      </c>
      <c r="O27" s="277">
        <v>102</v>
      </c>
      <c r="P27" s="277">
        <v>96</v>
      </c>
      <c r="Q27" s="277">
        <v>65</v>
      </c>
      <c r="R27" s="277">
        <v>25</v>
      </c>
      <c r="S27" s="277">
        <v>0</v>
      </c>
      <c r="T27" s="277">
        <v>0</v>
      </c>
      <c r="U27" s="277">
        <v>0</v>
      </c>
      <c r="V27" s="277">
        <v>0</v>
      </c>
      <c r="W27" s="277">
        <v>0</v>
      </c>
      <c r="X27" s="277">
        <v>0</v>
      </c>
      <c r="Y27" s="277">
        <v>0</v>
      </c>
      <c r="Z27" s="277">
        <v>0</v>
      </c>
      <c r="AA27" s="277">
        <v>0</v>
      </c>
      <c r="AB27" s="278">
        <v>0</v>
      </c>
    </row>
    <row r="28" spans="1:28" ht="15" customHeight="1">
      <c r="A28" s="258"/>
      <c r="B28" s="259" t="s">
        <v>194</v>
      </c>
      <c r="C28" s="260"/>
      <c r="D28" s="261"/>
      <c r="E28" s="279">
        <v>0</v>
      </c>
      <c r="F28" s="280">
        <v>0</v>
      </c>
      <c r="G28" s="280">
        <v>0</v>
      </c>
      <c r="H28" s="280">
        <v>0</v>
      </c>
      <c r="I28" s="280">
        <v>0</v>
      </c>
      <c r="J28" s="280">
        <v>0</v>
      </c>
      <c r="K28" s="280">
        <v>0</v>
      </c>
      <c r="L28" s="280">
        <v>0</v>
      </c>
      <c r="M28" s="280">
        <v>0.81799999999999995</v>
      </c>
      <c r="N28" s="280">
        <v>0.90700000000000003</v>
      </c>
      <c r="O28" s="280">
        <v>0.96499999999999997</v>
      </c>
      <c r="P28" s="280">
        <v>0.98299999999999998</v>
      </c>
      <c r="Q28" s="280">
        <v>0.91700000000000004</v>
      </c>
      <c r="R28" s="280">
        <v>0</v>
      </c>
      <c r="S28" s="280">
        <v>0</v>
      </c>
      <c r="T28" s="280">
        <v>0</v>
      </c>
      <c r="U28" s="280">
        <v>0</v>
      </c>
      <c r="V28" s="280">
        <v>0</v>
      </c>
      <c r="W28" s="280">
        <v>0</v>
      </c>
      <c r="X28" s="280">
        <v>0</v>
      </c>
      <c r="Y28" s="280">
        <v>0</v>
      </c>
      <c r="Z28" s="280">
        <v>0</v>
      </c>
      <c r="AA28" s="280">
        <v>0</v>
      </c>
      <c r="AB28" s="281">
        <v>0</v>
      </c>
    </row>
    <row r="29" spans="1:28" ht="15" customHeight="1" thickBot="1">
      <c r="A29" s="262"/>
      <c r="B29" s="263" t="s">
        <v>166</v>
      </c>
      <c r="C29" s="264"/>
      <c r="D29" s="265"/>
      <c r="E29" s="282">
        <v>0</v>
      </c>
      <c r="F29" s="283">
        <v>0</v>
      </c>
      <c r="G29" s="283">
        <v>0</v>
      </c>
      <c r="H29" s="283">
        <v>0</v>
      </c>
      <c r="I29" s="283">
        <v>3</v>
      </c>
      <c r="J29" s="283">
        <v>25</v>
      </c>
      <c r="K29" s="283">
        <v>49</v>
      </c>
      <c r="L29" s="283">
        <v>71</v>
      </c>
      <c r="M29" s="283">
        <v>130</v>
      </c>
      <c r="N29" s="283">
        <v>170</v>
      </c>
      <c r="O29" s="283">
        <v>193</v>
      </c>
      <c r="P29" s="283">
        <v>188</v>
      </c>
      <c r="Q29" s="283">
        <v>153</v>
      </c>
      <c r="R29" s="283">
        <v>90</v>
      </c>
      <c r="S29" s="283">
        <v>80</v>
      </c>
      <c r="T29" s="283">
        <v>63</v>
      </c>
      <c r="U29" s="283">
        <v>39</v>
      </c>
      <c r="V29" s="283">
        <v>12</v>
      </c>
      <c r="W29" s="283">
        <v>0</v>
      </c>
      <c r="X29" s="283">
        <v>0</v>
      </c>
      <c r="Y29" s="283">
        <v>0</v>
      </c>
      <c r="Z29" s="283">
        <v>0</v>
      </c>
      <c r="AA29" s="283">
        <v>0</v>
      </c>
      <c r="AB29" s="284">
        <v>0</v>
      </c>
    </row>
    <row r="30" spans="1:28" ht="15" customHeight="1">
      <c r="A30" s="254" t="s">
        <v>78</v>
      </c>
      <c r="B30" s="255" t="s">
        <v>164</v>
      </c>
      <c r="C30" s="256"/>
      <c r="D30" s="257"/>
      <c r="E30" s="276">
        <v>0</v>
      </c>
      <c r="F30" s="277">
        <v>0</v>
      </c>
      <c r="G30" s="277">
        <v>0</v>
      </c>
      <c r="H30" s="277">
        <v>0</v>
      </c>
      <c r="I30" s="277">
        <v>0</v>
      </c>
      <c r="J30" s="277">
        <v>0</v>
      </c>
      <c r="K30" s="277">
        <v>0</v>
      </c>
      <c r="L30" s="277">
        <v>0</v>
      </c>
      <c r="M30" s="277">
        <v>0</v>
      </c>
      <c r="N30" s="277">
        <v>0</v>
      </c>
      <c r="O30" s="277">
        <v>17</v>
      </c>
      <c r="P30" s="277">
        <v>84</v>
      </c>
      <c r="Q30" s="277">
        <v>150</v>
      </c>
      <c r="R30" s="277">
        <v>185</v>
      </c>
      <c r="S30" s="277">
        <v>178</v>
      </c>
      <c r="T30" s="277">
        <v>139</v>
      </c>
      <c r="U30" s="277">
        <v>84</v>
      </c>
      <c r="V30" s="277">
        <v>15</v>
      </c>
      <c r="W30" s="277">
        <v>0</v>
      </c>
      <c r="X30" s="277">
        <v>0</v>
      </c>
      <c r="Y30" s="277">
        <v>0</v>
      </c>
      <c r="Z30" s="277">
        <v>0</v>
      </c>
      <c r="AA30" s="277">
        <v>0</v>
      </c>
      <c r="AB30" s="278">
        <v>0</v>
      </c>
    </row>
    <row r="31" spans="1:28" ht="15" customHeight="1">
      <c r="A31" s="258"/>
      <c r="B31" s="259" t="s">
        <v>193</v>
      </c>
      <c r="C31" s="260"/>
      <c r="D31" s="261"/>
      <c r="E31" s="279">
        <v>0</v>
      </c>
      <c r="F31" s="280">
        <v>0</v>
      </c>
      <c r="G31" s="280">
        <v>0</v>
      </c>
      <c r="H31" s="280">
        <v>0</v>
      </c>
      <c r="I31" s="280">
        <v>0</v>
      </c>
      <c r="J31" s="280">
        <v>0</v>
      </c>
      <c r="K31" s="280">
        <v>0</v>
      </c>
      <c r="L31" s="280">
        <v>0</v>
      </c>
      <c r="M31" s="280">
        <v>0</v>
      </c>
      <c r="N31" s="280">
        <v>0</v>
      </c>
      <c r="O31" s="280">
        <v>0</v>
      </c>
      <c r="P31" s="280">
        <v>0.96299999999999997</v>
      </c>
      <c r="Q31" s="280">
        <v>0.99199999999999999</v>
      </c>
      <c r="R31" s="280">
        <v>0.96599999999999997</v>
      </c>
      <c r="S31" s="280">
        <v>0.94499999999999995</v>
      </c>
      <c r="T31" s="280">
        <v>0.92400000000000004</v>
      </c>
      <c r="U31" s="280">
        <v>0.89700000000000002</v>
      </c>
      <c r="V31" s="280">
        <v>0.85299999999999998</v>
      </c>
      <c r="W31" s="280">
        <v>0</v>
      </c>
      <c r="X31" s="280">
        <v>0</v>
      </c>
      <c r="Y31" s="280">
        <v>0</v>
      </c>
      <c r="Z31" s="280">
        <v>0</v>
      </c>
      <c r="AA31" s="280">
        <v>0</v>
      </c>
      <c r="AB31" s="281">
        <v>0</v>
      </c>
    </row>
    <row r="32" spans="1:28" ht="15" customHeight="1" thickBot="1">
      <c r="A32" s="262"/>
      <c r="B32" s="263" t="s">
        <v>166</v>
      </c>
      <c r="C32" s="264"/>
      <c r="D32" s="265"/>
      <c r="E32" s="282">
        <v>0</v>
      </c>
      <c r="F32" s="283">
        <v>0</v>
      </c>
      <c r="G32" s="283">
        <v>0</v>
      </c>
      <c r="H32" s="283">
        <v>0</v>
      </c>
      <c r="I32" s="283">
        <v>3</v>
      </c>
      <c r="J32" s="283">
        <v>25</v>
      </c>
      <c r="K32" s="283">
        <v>49</v>
      </c>
      <c r="L32" s="283">
        <v>71</v>
      </c>
      <c r="M32" s="283">
        <v>86</v>
      </c>
      <c r="N32" s="283">
        <v>93</v>
      </c>
      <c r="O32" s="283">
        <v>95</v>
      </c>
      <c r="P32" s="283">
        <v>175</v>
      </c>
      <c r="Q32" s="283">
        <v>242</v>
      </c>
      <c r="R32" s="283">
        <v>268</v>
      </c>
      <c r="S32" s="283">
        <v>248</v>
      </c>
      <c r="T32" s="283">
        <v>192</v>
      </c>
      <c r="U32" s="283">
        <v>114</v>
      </c>
      <c r="V32" s="283">
        <v>25</v>
      </c>
      <c r="W32" s="283">
        <v>0</v>
      </c>
      <c r="X32" s="283">
        <v>0</v>
      </c>
      <c r="Y32" s="283">
        <v>0</v>
      </c>
      <c r="Z32" s="283">
        <v>0</v>
      </c>
      <c r="AA32" s="283">
        <v>0</v>
      </c>
      <c r="AB32" s="284">
        <v>0</v>
      </c>
    </row>
    <row r="33" spans="1:28" ht="15" customHeight="1">
      <c r="A33" s="254" t="s">
        <v>79</v>
      </c>
      <c r="B33" s="255" t="s">
        <v>164</v>
      </c>
      <c r="C33" s="256"/>
      <c r="D33" s="257"/>
      <c r="E33" s="276">
        <v>0</v>
      </c>
      <c r="F33" s="277">
        <v>0</v>
      </c>
      <c r="G33" s="277">
        <v>0</v>
      </c>
      <c r="H33" s="277">
        <v>0</v>
      </c>
      <c r="I33" s="277">
        <v>0</v>
      </c>
      <c r="J33" s="277">
        <v>0</v>
      </c>
      <c r="K33" s="277">
        <v>0</v>
      </c>
      <c r="L33" s="277">
        <v>0</v>
      </c>
      <c r="M33" s="277">
        <v>0</v>
      </c>
      <c r="N33" s="277">
        <v>0</v>
      </c>
      <c r="O33" s="277">
        <v>0</v>
      </c>
      <c r="P33" s="277">
        <v>12</v>
      </c>
      <c r="Q33" s="277">
        <v>112</v>
      </c>
      <c r="R33" s="277">
        <v>209</v>
      </c>
      <c r="S33" s="277">
        <v>251</v>
      </c>
      <c r="T33" s="277">
        <v>239</v>
      </c>
      <c r="U33" s="277">
        <v>183</v>
      </c>
      <c r="V33" s="277">
        <v>48</v>
      </c>
      <c r="W33" s="277">
        <v>0</v>
      </c>
      <c r="X33" s="277">
        <v>0</v>
      </c>
      <c r="Y33" s="277">
        <v>0</v>
      </c>
      <c r="Z33" s="277">
        <v>0</v>
      </c>
      <c r="AA33" s="277">
        <v>0</v>
      </c>
      <c r="AB33" s="278">
        <v>0</v>
      </c>
    </row>
    <row r="34" spans="1:28" ht="15" customHeight="1">
      <c r="A34" s="258"/>
      <c r="B34" s="259" t="s">
        <v>193</v>
      </c>
      <c r="C34" s="260"/>
      <c r="D34" s="261"/>
      <c r="E34" s="279">
        <v>0</v>
      </c>
      <c r="F34" s="280">
        <v>0</v>
      </c>
      <c r="G34" s="280">
        <v>0</v>
      </c>
      <c r="H34" s="280">
        <v>0</v>
      </c>
      <c r="I34" s="280">
        <v>0</v>
      </c>
      <c r="J34" s="280">
        <v>0</v>
      </c>
      <c r="K34" s="280">
        <v>0</v>
      </c>
      <c r="L34" s="280">
        <v>0</v>
      </c>
      <c r="M34" s="280">
        <v>0</v>
      </c>
      <c r="N34" s="280">
        <v>0</v>
      </c>
      <c r="O34" s="280">
        <v>0</v>
      </c>
      <c r="P34" s="280">
        <v>0</v>
      </c>
      <c r="Q34" s="280">
        <v>0.95099999999999996</v>
      </c>
      <c r="R34" s="280">
        <v>0.98</v>
      </c>
      <c r="S34" s="280">
        <v>0.995</v>
      </c>
      <c r="T34" s="280">
        <v>0.99399999999999999</v>
      </c>
      <c r="U34" s="280">
        <v>0.98499999999999999</v>
      </c>
      <c r="V34" s="280">
        <v>0.97499999999999998</v>
      </c>
      <c r="W34" s="280">
        <v>0</v>
      </c>
      <c r="X34" s="280">
        <v>0</v>
      </c>
      <c r="Y34" s="280">
        <v>0</v>
      </c>
      <c r="Z34" s="280">
        <v>0</v>
      </c>
      <c r="AA34" s="280">
        <v>0</v>
      </c>
      <c r="AB34" s="281">
        <v>0</v>
      </c>
    </row>
    <row r="35" spans="1:28" ht="15" customHeight="1" thickBot="1">
      <c r="A35" s="262"/>
      <c r="B35" s="263" t="s">
        <v>166</v>
      </c>
      <c r="C35" s="264"/>
      <c r="D35" s="265"/>
      <c r="E35" s="282">
        <v>0</v>
      </c>
      <c r="F35" s="283">
        <v>0</v>
      </c>
      <c r="G35" s="283">
        <v>0</v>
      </c>
      <c r="H35" s="283">
        <v>0</v>
      </c>
      <c r="I35" s="283">
        <v>3</v>
      </c>
      <c r="J35" s="283">
        <v>25</v>
      </c>
      <c r="K35" s="283">
        <v>49</v>
      </c>
      <c r="L35" s="283">
        <v>71</v>
      </c>
      <c r="M35" s="283">
        <v>86</v>
      </c>
      <c r="N35" s="283">
        <v>93</v>
      </c>
      <c r="O35" s="283">
        <v>95</v>
      </c>
      <c r="P35" s="283">
        <v>94</v>
      </c>
      <c r="Q35" s="283">
        <v>200</v>
      </c>
      <c r="R35" s="283">
        <v>294</v>
      </c>
      <c r="S35" s="283">
        <v>330</v>
      </c>
      <c r="T35" s="283">
        <v>301</v>
      </c>
      <c r="U35" s="283">
        <v>219</v>
      </c>
      <c r="V35" s="283">
        <v>59</v>
      </c>
      <c r="W35" s="283">
        <v>0</v>
      </c>
      <c r="X35" s="283">
        <v>0</v>
      </c>
      <c r="Y35" s="283">
        <v>0</v>
      </c>
      <c r="Z35" s="283">
        <v>0</v>
      </c>
      <c r="AA35" s="283">
        <v>0</v>
      </c>
      <c r="AB35" s="284">
        <v>0</v>
      </c>
    </row>
    <row r="36" spans="1:28" ht="15" customHeight="1">
      <c r="A36" s="266" t="s">
        <v>80</v>
      </c>
      <c r="B36" s="255" t="s">
        <v>164</v>
      </c>
      <c r="C36" s="256"/>
      <c r="D36" s="257"/>
      <c r="E36" s="276">
        <v>0</v>
      </c>
      <c r="F36" s="277">
        <v>0</v>
      </c>
      <c r="G36" s="277">
        <v>0</v>
      </c>
      <c r="H36" s="277">
        <v>0</v>
      </c>
      <c r="I36" s="277">
        <v>0</v>
      </c>
      <c r="J36" s="277">
        <v>0</v>
      </c>
      <c r="K36" s="277">
        <v>0</v>
      </c>
      <c r="L36" s="277">
        <v>0</v>
      </c>
      <c r="M36" s="277">
        <v>0</v>
      </c>
      <c r="N36" s="277">
        <v>0</v>
      </c>
      <c r="O36" s="277">
        <v>0</v>
      </c>
      <c r="P36" s="277">
        <v>0</v>
      </c>
      <c r="Q36" s="277">
        <v>6</v>
      </c>
      <c r="R36" s="277">
        <v>81</v>
      </c>
      <c r="S36" s="277">
        <v>154</v>
      </c>
      <c r="T36" s="277">
        <v>180</v>
      </c>
      <c r="U36" s="277">
        <v>159</v>
      </c>
      <c r="V36" s="277">
        <v>48</v>
      </c>
      <c r="W36" s="277">
        <v>0</v>
      </c>
      <c r="X36" s="277">
        <v>0</v>
      </c>
      <c r="Y36" s="277">
        <v>0</v>
      </c>
      <c r="Z36" s="277">
        <v>0</v>
      </c>
      <c r="AA36" s="277">
        <v>0</v>
      </c>
      <c r="AB36" s="278">
        <v>0</v>
      </c>
    </row>
    <row r="37" spans="1:28" ht="15" customHeight="1">
      <c r="A37" s="267"/>
      <c r="B37" s="259" t="s">
        <v>193</v>
      </c>
      <c r="C37" s="260"/>
      <c r="D37" s="261"/>
      <c r="E37" s="279">
        <v>0</v>
      </c>
      <c r="F37" s="280">
        <v>0</v>
      </c>
      <c r="G37" s="280">
        <v>0</v>
      </c>
      <c r="H37" s="280">
        <v>0</v>
      </c>
      <c r="I37" s="280">
        <v>0</v>
      </c>
      <c r="J37" s="280">
        <v>0</v>
      </c>
      <c r="K37" s="280">
        <v>0</v>
      </c>
      <c r="L37" s="280">
        <v>0</v>
      </c>
      <c r="M37" s="280">
        <v>0</v>
      </c>
      <c r="N37" s="280">
        <v>0</v>
      </c>
      <c r="O37" s="280">
        <v>0</v>
      </c>
      <c r="P37" s="280">
        <v>0</v>
      </c>
      <c r="Q37" s="280">
        <v>0</v>
      </c>
      <c r="R37" s="280">
        <v>0.88100000000000001</v>
      </c>
      <c r="S37" s="280">
        <v>0.92600000000000005</v>
      </c>
      <c r="T37" s="280">
        <v>0.94699999999999995</v>
      </c>
      <c r="U37" s="280">
        <v>0.96099999999999997</v>
      </c>
      <c r="V37" s="280">
        <v>0.97299999999999998</v>
      </c>
      <c r="W37" s="280">
        <v>0</v>
      </c>
      <c r="X37" s="280">
        <v>0</v>
      </c>
      <c r="Y37" s="280">
        <v>0</v>
      </c>
      <c r="Z37" s="280">
        <v>0</v>
      </c>
      <c r="AA37" s="280">
        <v>0</v>
      </c>
      <c r="AB37" s="281">
        <v>0</v>
      </c>
    </row>
    <row r="38" spans="1:28" ht="15" customHeight="1" thickBot="1">
      <c r="A38" s="268"/>
      <c r="B38" s="263" t="s">
        <v>166</v>
      </c>
      <c r="C38" s="264"/>
      <c r="D38" s="265"/>
      <c r="E38" s="282">
        <v>0</v>
      </c>
      <c r="F38" s="283">
        <v>0</v>
      </c>
      <c r="G38" s="283">
        <v>0</v>
      </c>
      <c r="H38" s="283">
        <v>0</v>
      </c>
      <c r="I38" s="283">
        <v>3</v>
      </c>
      <c r="J38" s="283">
        <v>25</v>
      </c>
      <c r="K38" s="283">
        <v>49</v>
      </c>
      <c r="L38" s="283">
        <v>71</v>
      </c>
      <c r="M38" s="283">
        <v>86</v>
      </c>
      <c r="N38" s="283">
        <v>93</v>
      </c>
      <c r="O38" s="283">
        <v>95</v>
      </c>
      <c r="P38" s="283">
        <v>94</v>
      </c>
      <c r="Q38" s="283">
        <v>93</v>
      </c>
      <c r="R38" s="283">
        <v>161</v>
      </c>
      <c r="S38" s="283">
        <v>223</v>
      </c>
      <c r="T38" s="283">
        <v>234</v>
      </c>
      <c r="U38" s="283">
        <v>192</v>
      </c>
      <c r="V38" s="283">
        <v>58</v>
      </c>
      <c r="W38" s="283">
        <v>0</v>
      </c>
      <c r="X38" s="283">
        <v>0</v>
      </c>
      <c r="Y38" s="283">
        <v>0</v>
      </c>
      <c r="Z38" s="283">
        <v>0</v>
      </c>
      <c r="AA38" s="283">
        <v>0</v>
      </c>
      <c r="AB38" s="284">
        <v>0</v>
      </c>
    </row>
    <row r="39" spans="1:28" ht="15" customHeight="1">
      <c r="A39" s="269" t="s">
        <v>35</v>
      </c>
      <c r="AB39" s="146"/>
    </row>
    <row r="40" spans="1:28" ht="15" customHeight="1">
      <c r="A40" s="238"/>
      <c r="B40" s="239"/>
      <c r="C40" s="240"/>
      <c r="D40" s="241"/>
      <c r="E40" s="148">
        <v>1</v>
      </c>
      <c r="F40" s="149">
        <v>2</v>
      </c>
      <c r="G40" s="149">
        <v>3</v>
      </c>
      <c r="H40" s="149">
        <v>4</v>
      </c>
      <c r="I40" s="149">
        <v>5</v>
      </c>
      <c r="J40" s="149">
        <v>6</v>
      </c>
      <c r="K40" s="149">
        <v>7</v>
      </c>
      <c r="L40" s="149">
        <v>8</v>
      </c>
      <c r="M40" s="149">
        <v>9</v>
      </c>
      <c r="N40" s="149">
        <v>10</v>
      </c>
      <c r="O40" s="149">
        <v>11</v>
      </c>
      <c r="P40" s="149">
        <v>12</v>
      </c>
      <c r="Q40" s="149">
        <v>13</v>
      </c>
      <c r="R40" s="149">
        <v>14</v>
      </c>
      <c r="S40" s="149">
        <v>15</v>
      </c>
      <c r="T40" s="149">
        <v>16</v>
      </c>
      <c r="U40" s="149">
        <v>17</v>
      </c>
      <c r="V40" s="149">
        <v>18</v>
      </c>
      <c r="W40" s="151">
        <v>19</v>
      </c>
      <c r="X40" s="151">
        <v>20</v>
      </c>
      <c r="Y40" s="151">
        <v>21</v>
      </c>
      <c r="Z40" s="151">
        <v>22</v>
      </c>
      <c r="AA40" s="151">
        <v>23</v>
      </c>
      <c r="AB40" s="152">
        <v>24</v>
      </c>
    </row>
    <row r="41" spans="1:28" ht="15" customHeight="1" thickBot="1">
      <c r="A41" s="242" t="s">
        <v>174</v>
      </c>
      <c r="B41" s="243" t="s">
        <v>160</v>
      </c>
      <c r="C41" s="244"/>
      <c r="D41" s="245"/>
      <c r="E41" s="247">
        <v>0</v>
      </c>
      <c r="F41" s="247">
        <v>0</v>
      </c>
      <c r="G41" s="247">
        <v>0</v>
      </c>
      <c r="H41" s="247">
        <v>0</v>
      </c>
      <c r="I41" s="247">
        <v>9</v>
      </c>
      <c r="J41" s="247">
        <v>56</v>
      </c>
      <c r="K41" s="247">
        <v>96</v>
      </c>
      <c r="L41" s="247">
        <v>134</v>
      </c>
      <c r="M41" s="247">
        <v>174</v>
      </c>
      <c r="N41" s="247">
        <v>205</v>
      </c>
      <c r="O41" s="247">
        <v>225</v>
      </c>
      <c r="P41" s="247">
        <v>227</v>
      </c>
      <c r="Q41" s="247">
        <v>218</v>
      </c>
      <c r="R41" s="247">
        <v>194</v>
      </c>
      <c r="S41" s="247">
        <v>160</v>
      </c>
      <c r="T41" s="247">
        <v>122</v>
      </c>
      <c r="U41" s="247">
        <v>80</v>
      </c>
      <c r="V41" s="247">
        <v>33</v>
      </c>
      <c r="W41" s="247">
        <v>2</v>
      </c>
      <c r="X41" s="247">
        <v>0</v>
      </c>
      <c r="Y41" s="247">
        <v>0</v>
      </c>
      <c r="Z41" s="247">
        <v>0</v>
      </c>
      <c r="AA41" s="247">
        <v>0</v>
      </c>
      <c r="AB41" s="248">
        <v>0</v>
      </c>
    </row>
    <row r="42" spans="1:28" ht="15" customHeight="1" thickBot="1">
      <c r="A42" s="249" t="s">
        <v>192</v>
      </c>
      <c r="B42" s="250" t="s">
        <v>162</v>
      </c>
      <c r="C42" s="251"/>
      <c r="D42" s="252"/>
      <c r="E42" s="274">
        <v>0</v>
      </c>
      <c r="F42" s="274">
        <v>0</v>
      </c>
      <c r="G42" s="274">
        <v>0</v>
      </c>
      <c r="H42" s="274">
        <v>0</v>
      </c>
      <c r="I42" s="274">
        <v>5</v>
      </c>
      <c r="J42" s="274">
        <v>27</v>
      </c>
      <c r="K42" s="274">
        <v>43</v>
      </c>
      <c r="L42" s="274">
        <v>57</v>
      </c>
      <c r="M42" s="274">
        <v>64</v>
      </c>
      <c r="N42" s="274">
        <v>64</v>
      </c>
      <c r="O42" s="274">
        <v>61</v>
      </c>
      <c r="P42" s="274">
        <v>59</v>
      </c>
      <c r="Q42" s="274">
        <v>63</v>
      </c>
      <c r="R42" s="274">
        <v>65</v>
      </c>
      <c r="S42" s="274">
        <v>63</v>
      </c>
      <c r="T42" s="274">
        <v>51</v>
      </c>
      <c r="U42" s="274">
        <v>37</v>
      </c>
      <c r="V42" s="274">
        <v>17</v>
      </c>
      <c r="W42" s="274">
        <v>2</v>
      </c>
      <c r="X42" s="274">
        <v>0</v>
      </c>
      <c r="Y42" s="274">
        <v>0</v>
      </c>
      <c r="Z42" s="274">
        <v>0</v>
      </c>
      <c r="AA42" s="274">
        <v>0</v>
      </c>
      <c r="AB42" s="275">
        <v>0</v>
      </c>
    </row>
    <row r="43" spans="1:28" ht="15" customHeight="1" thickBot="1">
      <c r="A43" s="253" t="s">
        <v>72</v>
      </c>
      <c r="B43" s="250" t="s">
        <v>163</v>
      </c>
      <c r="C43" s="251"/>
      <c r="D43" s="252"/>
      <c r="E43" s="274">
        <v>0</v>
      </c>
      <c r="F43" s="274">
        <v>0</v>
      </c>
      <c r="G43" s="274">
        <v>0</v>
      </c>
      <c r="H43" s="274">
        <v>0</v>
      </c>
      <c r="I43" s="274">
        <v>9</v>
      </c>
      <c r="J43" s="274">
        <v>56</v>
      </c>
      <c r="K43" s="274">
        <v>96</v>
      </c>
      <c r="L43" s="274">
        <v>134</v>
      </c>
      <c r="M43" s="274">
        <v>175</v>
      </c>
      <c r="N43" s="274">
        <v>206</v>
      </c>
      <c r="O43" s="274">
        <v>226</v>
      </c>
      <c r="P43" s="274">
        <v>228</v>
      </c>
      <c r="Q43" s="274">
        <v>219</v>
      </c>
      <c r="R43" s="274">
        <v>195</v>
      </c>
      <c r="S43" s="274">
        <v>161</v>
      </c>
      <c r="T43" s="274">
        <v>123</v>
      </c>
      <c r="U43" s="274">
        <v>80</v>
      </c>
      <c r="V43" s="274">
        <v>34</v>
      </c>
      <c r="W43" s="274">
        <v>2</v>
      </c>
      <c r="X43" s="274">
        <v>0</v>
      </c>
      <c r="Y43" s="274">
        <v>0</v>
      </c>
      <c r="Z43" s="274">
        <v>0</v>
      </c>
      <c r="AA43" s="274">
        <v>0</v>
      </c>
      <c r="AB43" s="275">
        <v>0</v>
      </c>
    </row>
    <row r="44" spans="1:28" ht="15" customHeight="1">
      <c r="A44" s="254" t="s">
        <v>73</v>
      </c>
      <c r="B44" s="255" t="s">
        <v>164</v>
      </c>
      <c r="C44" s="256"/>
      <c r="D44" s="257"/>
      <c r="E44" s="277">
        <v>0</v>
      </c>
      <c r="F44" s="277">
        <v>0</v>
      </c>
      <c r="G44" s="277">
        <v>0</v>
      </c>
      <c r="H44" s="277">
        <v>0</v>
      </c>
      <c r="I44" s="277">
        <v>12</v>
      </c>
      <c r="J44" s="277">
        <v>9</v>
      </c>
      <c r="K44" s="277">
        <v>0</v>
      </c>
      <c r="L44" s="277">
        <v>0</v>
      </c>
      <c r="M44" s="277">
        <v>0</v>
      </c>
      <c r="N44" s="277">
        <v>0</v>
      </c>
      <c r="O44" s="277">
        <v>0</v>
      </c>
      <c r="P44" s="277">
        <v>0</v>
      </c>
      <c r="Q44" s="277">
        <v>0</v>
      </c>
      <c r="R44" s="277">
        <v>0</v>
      </c>
      <c r="S44" s="277">
        <v>0</v>
      </c>
      <c r="T44" s="277">
        <v>19</v>
      </c>
      <c r="U44" s="277">
        <v>74</v>
      </c>
      <c r="V44" s="277">
        <v>76</v>
      </c>
      <c r="W44" s="277">
        <v>0</v>
      </c>
      <c r="X44" s="277">
        <v>0</v>
      </c>
      <c r="Y44" s="277">
        <v>0</v>
      </c>
      <c r="Z44" s="277">
        <v>0</v>
      </c>
      <c r="AA44" s="277">
        <v>0</v>
      </c>
      <c r="AB44" s="278">
        <v>0</v>
      </c>
    </row>
    <row r="45" spans="1:28" ht="15" customHeight="1">
      <c r="A45" s="258"/>
      <c r="B45" s="259" t="s">
        <v>193</v>
      </c>
      <c r="C45" s="260"/>
      <c r="D45" s="261"/>
      <c r="E45" s="280">
        <v>0</v>
      </c>
      <c r="F45" s="280">
        <v>0</v>
      </c>
      <c r="G45" s="280">
        <v>0</v>
      </c>
      <c r="H45" s="280">
        <v>0</v>
      </c>
      <c r="I45" s="280">
        <v>0</v>
      </c>
      <c r="J45" s="280">
        <v>0</v>
      </c>
      <c r="K45" s="280">
        <v>0</v>
      </c>
      <c r="L45" s="280">
        <v>0</v>
      </c>
      <c r="M45" s="280">
        <v>0</v>
      </c>
      <c r="N45" s="280">
        <v>0</v>
      </c>
      <c r="O45" s="280">
        <v>0</v>
      </c>
      <c r="P45" s="280">
        <v>0</v>
      </c>
      <c r="Q45" s="280">
        <v>0</v>
      </c>
      <c r="R45" s="280">
        <v>0</v>
      </c>
      <c r="S45" s="280">
        <v>0</v>
      </c>
      <c r="T45" s="280">
        <v>0</v>
      </c>
      <c r="U45" s="280">
        <v>0.73499999999999999</v>
      </c>
      <c r="V45" s="280">
        <v>0.84099999999999997</v>
      </c>
      <c r="W45" s="280">
        <v>0</v>
      </c>
      <c r="X45" s="280">
        <v>0</v>
      </c>
      <c r="Y45" s="280">
        <v>0</v>
      </c>
      <c r="Z45" s="280">
        <v>0</v>
      </c>
      <c r="AA45" s="280">
        <v>0</v>
      </c>
      <c r="AB45" s="281">
        <v>0</v>
      </c>
    </row>
    <row r="46" spans="1:28" ht="15" customHeight="1" thickBot="1">
      <c r="A46" s="262"/>
      <c r="B46" s="263" t="s">
        <v>166</v>
      </c>
      <c r="C46" s="264"/>
      <c r="D46" s="265"/>
      <c r="E46" s="283">
        <v>0</v>
      </c>
      <c r="F46" s="283">
        <v>0</v>
      </c>
      <c r="G46" s="283">
        <v>0</v>
      </c>
      <c r="H46" s="283">
        <v>0</v>
      </c>
      <c r="I46" s="283">
        <v>5</v>
      </c>
      <c r="J46" s="283">
        <v>27</v>
      </c>
      <c r="K46" s="283">
        <v>43</v>
      </c>
      <c r="L46" s="283">
        <v>57</v>
      </c>
      <c r="M46" s="283">
        <v>64</v>
      </c>
      <c r="N46" s="283">
        <v>64</v>
      </c>
      <c r="O46" s="283">
        <v>61</v>
      </c>
      <c r="P46" s="283">
        <v>59</v>
      </c>
      <c r="Q46" s="283">
        <v>63</v>
      </c>
      <c r="R46" s="283">
        <v>65</v>
      </c>
      <c r="S46" s="283">
        <v>63</v>
      </c>
      <c r="T46" s="283">
        <v>51</v>
      </c>
      <c r="U46" s="283">
        <v>92</v>
      </c>
      <c r="V46" s="283">
        <v>81</v>
      </c>
      <c r="W46" s="283">
        <v>2</v>
      </c>
      <c r="X46" s="283">
        <v>0</v>
      </c>
      <c r="Y46" s="283">
        <v>0</v>
      </c>
      <c r="Z46" s="283">
        <v>0</v>
      </c>
      <c r="AA46" s="283">
        <v>0</v>
      </c>
      <c r="AB46" s="284">
        <v>0</v>
      </c>
    </row>
    <row r="47" spans="1:28" ht="15" customHeight="1">
      <c r="A47" s="254" t="s">
        <v>74</v>
      </c>
      <c r="B47" s="255" t="s">
        <v>164</v>
      </c>
      <c r="C47" s="256"/>
      <c r="D47" s="257"/>
      <c r="E47" s="277">
        <v>0</v>
      </c>
      <c r="F47" s="277">
        <v>0</v>
      </c>
      <c r="G47" s="277">
        <v>0</v>
      </c>
      <c r="H47" s="277">
        <v>0</v>
      </c>
      <c r="I47" s="277">
        <v>65</v>
      </c>
      <c r="J47" s="277">
        <v>287</v>
      </c>
      <c r="K47" s="277">
        <v>313</v>
      </c>
      <c r="L47" s="277">
        <v>242</v>
      </c>
      <c r="M47" s="277">
        <v>113</v>
      </c>
      <c r="N47" s="277">
        <v>10</v>
      </c>
      <c r="O47" s="277">
        <v>0</v>
      </c>
      <c r="P47" s="277">
        <v>0</v>
      </c>
      <c r="Q47" s="277">
        <v>0</v>
      </c>
      <c r="R47" s="277">
        <v>0</v>
      </c>
      <c r="S47" s="277">
        <v>0</v>
      </c>
      <c r="T47" s="277">
        <v>0</v>
      </c>
      <c r="U47" s="277">
        <v>0</v>
      </c>
      <c r="V47" s="277">
        <v>0</v>
      </c>
      <c r="W47" s="277">
        <v>0</v>
      </c>
      <c r="X47" s="277">
        <v>0</v>
      </c>
      <c r="Y47" s="277">
        <v>0</v>
      </c>
      <c r="Z47" s="277">
        <v>0</v>
      </c>
      <c r="AA47" s="277">
        <v>0</v>
      </c>
      <c r="AB47" s="278">
        <v>0</v>
      </c>
    </row>
    <row r="48" spans="1:28" ht="15" customHeight="1">
      <c r="A48" s="258"/>
      <c r="B48" s="259" t="s">
        <v>193</v>
      </c>
      <c r="C48" s="260"/>
      <c r="D48" s="261"/>
      <c r="E48" s="280">
        <v>0</v>
      </c>
      <c r="F48" s="280">
        <v>0</v>
      </c>
      <c r="G48" s="280">
        <v>0</v>
      </c>
      <c r="H48" s="280">
        <v>0</v>
      </c>
      <c r="I48" s="280">
        <v>0.96599999999999997</v>
      </c>
      <c r="J48" s="280">
        <v>0.95199999999999996</v>
      </c>
      <c r="K48" s="280">
        <v>0.93700000000000006</v>
      </c>
      <c r="L48" s="280">
        <v>0.91400000000000003</v>
      </c>
      <c r="M48" s="280">
        <v>0.86899999999999999</v>
      </c>
      <c r="N48" s="280">
        <v>0</v>
      </c>
      <c r="O48" s="280">
        <v>0</v>
      </c>
      <c r="P48" s="280">
        <v>0</v>
      </c>
      <c r="Q48" s="280">
        <v>0</v>
      </c>
      <c r="R48" s="280">
        <v>0</v>
      </c>
      <c r="S48" s="280">
        <v>0</v>
      </c>
      <c r="T48" s="280">
        <v>0</v>
      </c>
      <c r="U48" s="280">
        <v>0</v>
      </c>
      <c r="V48" s="280">
        <v>0</v>
      </c>
      <c r="W48" s="280">
        <v>0</v>
      </c>
      <c r="X48" s="280">
        <v>0</v>
      </c>
      <c r="Y48" s="280">
        <v>0</v>
      </c>
      <c r="Z48" s="280">
        <v>0</v>
      </c>
      <c r="AA48" s="280">
        <v>0</v>
      </c>
      <c r="AB48" s="281">
        <v>0</v>
      </c>
    </row>
    <row r="49" spans="1:28" ht="15" customHeight="1" thickBot="1">
      <c r="A49" s="262"/>
      <c r="B49" s="263" t="s">
        <v>166</v>
      </c>
      <c r="C49" s="264"/>
      <c r="D49" s="265"/>
      <c r="E49" s="283">
        <v>0</v>
      </c>
      <c r="F49" s="283">
        <v>0</v>
      </c>
      <c r="G49" s="283">
        <v>0</v>
      </c>
      <c r="H49" s="283">
        <v>0</v>
      </c>
      <c r="I49" s="283">
        <v>67</v>
      </c>
      <c r="J49" s="283">
        <v>300</v>
      </c>
      <c r="K49" s="283">
        <v>337</v>
      </c>
      <c r="L49" s="283">
        <v>279</v>
      </c>
      <c r="M49" s="283">
        <v>162</v>
      </c>
      <c r="N49" s="283">
        <v>64</v>
      </c>
      <c r="O49" s="283">
        <v>61</v>
      </c>
      <c r="P49" s="283">
        <v>59</v>
      </c>
      <c r="Q49" s="283">
        <v>63</v>
      </c>
      <c r="R49" s="283">
        <v>65</v>
      </c>
      <c r="S49" s="283">
        <v>63</v>
      </c>
      <c r="T49" s="283">
        <v>51</v>
      </c>
      <c r="U49" s="283">
        <v>37</v>
      </c>
      <c r="V49" s="283">
        <v>17</v>
      </c>
      <c r="W49" s="283">
        <v>2</v>
      </c>
      <c r="X49" s="283">
        <v>0</v>
      </c>
      <c r="Y49" s="283">
        <v>0</v>
      </c>
      <c r="Z49" s="283">
        <v>0</v>
      </c>
      <c r="AA49" s="283">
        <v>0</v>
      </c>
      <c r="AB49" s="284">
        <v>0</v>
      </c>
    </row>
    <row r="50" spans="1:28" ht="15" customHeight="1">
      <c r="A50" s="254" t="s">
        <v>75</v>
      </c>
      <c r="B50" s="255" t="s">
        <v>164</v>
      </c>
      <c r="C50" s="256"/>
      <c r="D50" s="257"/>
      <c r="E50" s="277">
        <v>0</v>
      </c>
      <c r="F50" s="277">
        <v>0</v>
      </c>
      <c r="G50" s="277">
        <v>0</v>
      </c>
      <c r="H50" s="277">
        <v>0</v>
      </c>
      <c r="I50" s="277">
        <v>71</v>
      </c>
      <c r="J50" s="277">
        <v>365</v>
      </c>
      <c r="K50" s="277">
        <v>471</v>
      </c>
      <c r="L50" s="277">
        <v>466</v>
      </c>
      <c r="M50" s="277">
        <v>376</v>
      </c>
      <c r="N50" s="277">
        <v>226</v>
      </c>
      <c r="O50" s="277">
        <v>49</v>
      </c>
      <c r="P50" s="277">
        <v>0</v>
      </c>
      <c r="Q50" s="277">
        <v>0</v>
      </c>
      <c r="R50" s="277">
        <v>0</v>
      </c>
      <c r="S50" s="277">
        <v>0</v>
      </c>
      <c r="T50" s="277">
        <v>0</v>
      </c>
      <c r="U50" s="277">
        <v>0</v>
      </c>
      <c r="V50" s="277">
        <v>0</v>
      </c>
      <c r="W50" s="277">
        <v>0</v>
      </c>
      <c r="X50" s="277">
        <v>0</v>
      </c>
      <c r="Y50" s="277">
        <v>0</v>
      </c>
      <c r="Z50" s="277">
        <v>0</v>
      </c>
      <c r="AA50" s="277">
        <v>0</v>
      </c>
      <c r="AB50" s="278">
        <v>0</v>
      </c>
    </row>
    <row r="51" spans="1:28" ht="15" customHeight="1">
      <c r="A51" s="258"/>
      <c r="B51" s="259" t="s">
        <v>194</v>
      </c>
      <c r="C51" s="260"/>
      <c r="D51" s="261"/>
      <c r="E51" s="280">
        <v>0</v>
      </c>
      <c r="F51" s="280">
        <v>0</v>
      </c>
      <c r="G51" s="280">
        <v>0</v>
      </c>
      <c r="H51" s="280">
        <v>0</v>
      </c>
      <c r="I51" s="280">
        <v>0.98099999999999998</v>
      </c>
      <c r="J51" s="280">
        <v>0.99099999999999999</v>
      </c>
      <c r="K51" s="280">
        <v>1</v>
      </c>
      <c r="L51" s="280">
        <v>0.99</v>
      </c>
      <c r="M51" s="280">
        <v>0.97799999999999998</v>
      </c>
      <c r="N51" s="280">
        <v>0.95599999999999996</v>
      </c>
      <c r="O51" s="280">
        <v>0</v>
      </c>
      <c r="P51" s="280">
        <v>0</v>
      </c>
      <c r="Q51" s="280">
        <v>0</v>
      </c>
      <c r="R51" s="280">
        <v>0</v>
      </c>
      <c r="S51" s="280">
        <v>0</v>
      </c>
      <c r="T51" s="280">
        <v>0</v>
      </c>
      <c r="U51" s="280">
        <v>0</v>
      </c>
      <c r="V51" s="280">
        <v>0</v>
      </c>
      <c r="W51" s="280">
        <v>0</v>
      </c>
      <c r="X51" s="280">
        <v>0</v>
      </c>
      <c r="Y51" s="280">
        <v>0</v>
      </c>
      <c r="Z51" s="280">
        <v>0</v>
      </c>
      <c r="AA51" s="280">
        <v>0</v>
      </c>
      <c r="AB51" s="281">
        <v>0</v>
      </c>
    </row>
    <row r="52" spans="1:28" ht="15" customHeight="1" thickBot="1">
      <c r="A52" s="262"/>
      <c r="B52" s="263" t="s">
        <v>166</v>
      </c>
      <c r="C52" s="264"/>
      <c r="D52" s="265"/>
      <c r="E52" s="283">
        <v>0</v>
      </c>
      <c r="F52" s="283">
        <v>0</v>
      </c>
      <c r="G52" s="283">
        <v>0</v>
      </c>
      <c r="H52" s="283">
        <v>0</v>
      </c>
      <c r="I52" s="283">
        <v>75</v>
      </c>
      <c r="J52" s="283">
        <v>389</v>
      </c>
      <c r="K52" s="283">
        <v>514</v>
      </c>
      <c r="L52" s="283">
        <v>518</v>
      </c>
      <c r="M52" s="283">
        <v>432</v>
      </c>
      <c r="N52" s="283">
        <v>280</v>
      </c>
      <c r="O52" s="283">
        <v>61</v>
      </c>
      <c r="P52" s="283">
        <v>59</v>
      </c>
      <c r="Q52" s="283">
        <v>63</v>
      </c>
      <c r="R52" s="283">
        <v>65</v>
      </c>
      <c r="S52" s="283">
        <v>63</v>
      </c>
      <c r="T52" s="283">
        <v>51</v>
      </c>
      <c r="U52" s="283">
        <v>37</v>
      </c>
      <c r="V52" s="283">
        <v>17</v>
      </c>
      <c r="W52" s="283">
        <v>2</v>
      </c>
      <c r="X52" s="283">
        <v>0</v>
      </c>
      <c r="Y52" s="283">
        <v>0</v>
      </c>
      <c r="Z52" s="283">
        <v>0</v>
      </c>
      <c r="AA52" s="283">
        <v>0</v>
      </c>
      <c r="AB52" s="284">
        <v>0</v>
      </c>
    </row>
    <row r="53" spans="1:28" ht="15" customHeight="1">
      <c r="A53" s="254" t="s">
        <v>76</v>
      </c>
      <c r="B53" s="255" t="s">
        <v>164</v>
      </c>
      <c r="C53" s="256"/>
      <c r="D53" s="257"/>
      <c r="E53" s="277">
        <v>0</v>
      </c>
      <c r="F53" s="277">
        <v>0</v>
      </c>
      <c r="G53" s="277">
        <v>0</v>
      </c>
      <c r="H53" s="277">
        <v>0</v>
      </c>
      <c r="I53" s="277">
        <v>33</v>
      </c>
      <c r="J53" s="277">
        <v>211</v>
      </c>
      <c r="K53" s="277">
        <v>323</v>
      </c>
      <c r="L53" s="277">
        <v>373</v>
      </c>
      <c r="M53" s="277">
        <v>360</v>
      </c>
      <c r="N53" s="277">
        <v>296</v>
      </c>
      <c r="O53" s="277">
        <v>178</v>
      </c>
      <c r="P53" s="277">
        <v>42</v>
      </c>
      <c r="Q53" s="277">
        <v>0</v>
      </c>
      <c r="R53" s="277">
        <v>0</v>
      </c>
      <c r="S53" s="277">
        <v>0</v>
      </c>
      <c r="T53" s="277">
        <v>0</v>
      </c>
      <c r="U53" s="277">
        <v>0</v>
      </c>
      <c r="V53" s="277">
        <v>0</v>
      </c>
      <c r="W53" s="277">
        <v>-1</v>
      </c>
      <c r="X53" s="277">
        <v>0</v>
      </c>
      <c r="Y53" s="277">
        <v>0</v>
      </c>
      <c r="Z53" s="277">
        <v>0</v>
      </c>
      <c r="AA53" s="277">
        <v>0</v>
      </c>
      <c r="AB53" s="278">
        <v>0</v>
      </c>
    </row>
    <row r="54" spans="1:28" ht="15" customHeight="1">
      <c r="A54" s="258"/>
      <c r="B54" s="259" t="s">
        <v>193</v>
      </c>
      <c r="C54" s="260"/>
      <c r="D54" s="261"/>
      <c r="E54" s="280">
        <v>0</v>
      </c>
      <c r="F54" s="280">
        <v>0</v>
      </c>
      <c r="G54" s="280">
        <v>0</v>
      </c>
      <c r="H54" s="280">
        <v>0</v>
      </c>
      <c r="I54" s="280">
        <v>0.88300000000000001</v>
      </c>
      <c r="J54" s="280">
        <v>0.91500000000000004</v>
      </c>
      <c r="K54" s="280">
        <v>0.93700000000000006</v>
      </c>
      <c r="L54" s="280">
        <v>0.95299999999999996</v>
      </c>
      <c r="M54" s="280">
        <v>0.97</v>
      </c>
      <c r="N54" s="280">
        <v>0.98799999999999999</v>
      </c>
      <c r="O54" s="280">
        <v>0.98199999999999998</v>
      </c>
      <c r="P54" s="280">
        <v>0</v>
      </c>
      <c r="Q54" s="280">
        <v>0</v>
      </c>
      <c r="R54" s="280">
        <v>0</v>
      </c>
      <c r="S54" s="280">
        <v>0</v>
      </c>
      <c r="T54" s="280">
        <v>0</v>
      </c>
      <c r="U54" s="280">
        <v>0</v>
      </c>
      <c r="V54" s="280">
        <v>0</v>
      </c>
      <c r="W54" s="280">
        <v>0</v>
      </c>
      <c r="X54" s="280">
        <v>0</v>
      </c>
      <c r="Y54" s="280">
        <v>0</v>
      </c>
      <c r="Z54" s="280">
        <v>0</v>
      </c>
      <c r="AA54" s="280">
        <v>0</v>
      </c>
      <c r="AB54" s="281">
        <v>0</v>
      </c>
    </row>
    <row r="55" spans="1:28" ht="15" customHeight="1" thickBot="1">
      <c r="A55" s="262"/>
      <c r="B55" s="263" t="s">
        <v>166</v>
      </c>
      <c r="C55" s="264"/>
      <c r="D55" s="265"/>
      <c r="E55" s="283">
        <v>0</v>
      </c>
      <c r="F55" s="283">
        <v>0</v>
      </c>
      <c r="G55" s="283">
        <v>0</v>
      </c>
      <c r="H55" s="283">
        <v>0</v>
      </c>
      <c r="I55" s="283">
        <v>34</v>
      </c>
      <c r="J55" s="283">
        <v>220</v>
      </c>
      <c r="K55" s="283">
        <v>345</v>
      </c>
      <c r="L55" s="283">
        <v>412</v>
      </c>
      <c r="M55" s="283">
        <v>414</v>
      </c>
      <c r="N55" s="283">
        <v>356</v>
      </c>
      <c r="O55" s="283">
        <v>236</v>
      </c>
      <c r="P55" s="283">
        <v>59</v>
      </c>
      <c r="Q55" s="283">
        <v>63</v>
      </c>
      <c r="R55" s="283">
        <v>65</v>
      </c>
      <c r="S55" s="283">
        <v>63</v>
      </c>
      <c r="T55" s="283">
        <v>51</v>
      </c>
      <c r="U55" s="283">
        <v>37</v>
      </c>
      <c r="V55" s="283">
        <v>17</v>
      </c>
      <c r="W55" s="283">
        <v>2</v>
      </c>
      <c r="X55" s="283">
        <v>0</v>
      </c>
      <c r="Y55" s="283">
        <v>0</v>
      </c>
      <c r="Z55" s="283">
        <v>0</v>
      </c>
      <c r="AA55" s="283">
        <v>0</v>
      </c>
      <c r="AB55" s="284">
        <v>0</v>
      </c>
    </row>
    <row r="56" spans="1:28" ht="15" customHeight="1">
      <c r="A56" s="254" t="s">
        <v>77</v>
      </c>
      <c r="B56" s="255" t="s">
        <v>164</v>
      </c>
      <c r="C56" s="256"/>
      <c r="D56" s="257"/>
      <c r="E56" s="277">
        <v>0</v>
      </c>
      <c r="F56" s="277">
        <v>0</v>
      </c>
      <c r="G56" s="277">
        <v>0</v>
      </c>
      <c r="H56" s="277">
        <v>0</v>
      </c>
      <c r="I56" s="277">
        <v>0</v>
      </c>
      <c r="J56" s="277">
        <v>0</v>
      </c>
      <c r="K56" s="277">
        <v>0</v>
      </c>
      <c r="L56" s="277">
        <v>38</v>
      </c>
      <c r="M56" s="277">
        <v>94</v>
      </c>
      <c r="N56" s="277">
        <v>141</v>
      </c>
      <c r="O56" s="277">
        <v>161</v>
      </c>
      <c r="P56" s="277">
        <v>148</v>
      </c>
      <c r="Q56" s="277">
        <v>100</v>
      </c>
      <c r="R56" s="277">
        <v>39</v>
      </c>
      <c r="S56" s="277">
        <v>0</v>
      </c>
      <c r="T56" s="277">
        <v>0</v>
      </c>
      <c r="U56" s="277">
        <v>0</v>
      </c>
      <c r="V56" s="277">
        <v>0</v>
      </c>
      <c r="W56" s="277">
        <v>-2</v>
      </c>
      <c r="X56" s="277">
        <v>0</v>
      </c>
      <c r="Y56" s="277">
        <v>0</v>
      </c>
      <c r="Z56" s="277">
        <v>0</v>
      </c>
      <c r="AA56" s="277">
        <v>0</v>
      </c>
      <c r="AB56" s="278">
        <v>0</v>
      </c>
    </row>
    <row r="57" spans="1:28" ht="15" customHeight="1">
      <c r="A57" s="258"/>
      <c r="B57" s="259" t="s">
        <v>194</v>
      </c>
      <c r="C57" s="260"/>
      <c r="D57" s="261"/>
      <c r="E57" s="280">
        <v>0</v>
      </c>
      <c r="F57" s="280">
        <v>0</v>
      </c>
      <c r="G57" s="280">
        <v>0</v>
      </c>
      <c r="H57" s="280">
        <v>0</v>
      </c>
      <c r="I57" s="280">
        <v>0</v>
      </c>
      <c r="J57" s="280">
        <v>0</v>
      </c>
      <c r="K57" s="280">
        <v>0</v>
      </c>
      <c r="L57" s="280">
        <v>0</v>
      </c>
      <c r="M57" s="280">
        <v>0.81799999999999995</v>
      </c>
      <c r="N57" s="280">
        <v>0.90700000000000003</v>
      </c>
      <c r="O57" s="280">
        <v>0.96499999999999997</v>
      </c>
      <c r="P57" s="280">
        <v>0.98299999999999998</v>
      </c>
      <c r="Q57" s="280">
        <v>0.91700000000000004</v>
      </c>
      <c r="R57" s="280">
        <v>0</v>
      </c>
      <c r="S57" s="280">
        <v>0</v>
      </c>
      <c r="T57" s="280">
        <v>0</v>
      </c>
      <c r="U57" s="280">
        <v>0</v>
      </c>
      <c r="V57" s="280">
        <v>0</v>
      </c>
      <c r="W57" s="280">
        <v>0</v>
      </c>
      <c r="X57" s="280">
        <v>0</v>
      </c>
      <c r="Y57" s="280">
        <v>0</v>
      </c>
      <c r="Z57" s="280">
        <v>0</v>
      </c>
      <c r="AA57" s="280">
        <v>0</v>
      </c>
      <c r="AB57" s="281">
        <v>0</v>
      </c>
    </row>
    <row r="58" spans="1:28" ht="15" customHeight="1" thickBot="1">
      <c r="A58" s="262"/>
      <c r="B58" s="263" t="s">
        <v>166</v>
      </c>
      <c r="C58" s="264"/>
      <c r="D58" s="265"/>
      <c r="E58" s="283">
        <v>0</v>
      </c>
      <c r="F58" s="283">
        <v>0</v>
      </c>
      <c r="G58" s="283">
        <v>0</v>
      </c>
      <c r="H58" s="283">
        <v>0</v>
      </c>
      <c r="I58" s="283">
        <v>5</v>
      </c>
      <c r="J58" s="283">
        <v>27</v>
      </c>
      <c r="K58" s="283">
        <v>43</v>
      </c>
      <c r="L58" s="283">
        <v>57</v>
      </c>
      <c r="M58" s="283">
        <v>141</v>
      </c>
      <c r="N58" s="283">
        <v>192</v>
      </c>
      <c r="O58" s="283">
        <v>216</v>
      </c>
      <c r="P58" s="283">
        <v>204</v>
      </c>
      <c r="Q58" s="283">
        <v>155</v>
      </c>
      <c r="R58" s="283">
        <v>65</v>
      </c>
      <c r="S58" s="283">
        <v>63</v>
      </c>
      <c r="T58" s="283">
        <v>51</v>
      </c>
      <c r="U58" s="283">
        <v>37</v>
      </c>
      <c r="V58" s="283">
        <v>17</v>
      </c>
      <c r="W58" s="283">
        <v>2</v>
      </c>
      <c r="X58" s="283">
        <v>0</v>
      </c>
      <c r="Y58" s="283">
        <v>0</v>
      </c>
      <c r="Z58" s="283">
        <v>0</v>
      </c>
      <c r="AA58" s="283">
        <v>0</v>
      </c>
      <c r="AB58" s="284">
        <v>0</v>
      </c>
    </row>
    <row r="59" spans="1:28" ht="15" customHeight="1">
      <c r="A59" s="254" t="s">
        <v>78</v>
      </c>
      <c r="B59" s="255" t="s">
        <v>164</v>
      </c>
      <c r="C59" s="256"/>
      <c r="D59" s="257"/>
      <c r="E59" s="277">
        <v>0</v>
      </c>
      <c r="F59" s="277">
        <v>0</v>
      </c>
      <c r="G59" s="277">
        <v>0</v>
      </c>
      <c r="H59" s="277">
        <v>0</v>
      </c>
      <c r="I59" s="277">
        <v>0</v>
      </c>
      <c r="J59" s="277">
        <v>0</v>
      </c>
      <c r="K59" s="277">
        <v>0</v>
      </c>
      <c r="L59" s="277">
        <v>0</v>
      </c>
      <c r="M59" s="277">
        <v>0</v>
      </c>
      <c r="N59" s="277">
        <v>0</v>
      </c>
      <c r="O59" s="277">
        <v>26</v>
      </c>
      <c r="P59" s="277">
        <v>130</v>
      </c>
      <c r="Q59" s="277">
        <v>231</v>
      </c>
      <c r="R59" s="277">
        <v>293</v>
      </c>
      <c r="S59" s="277">
        <v>308</v>
      </c>
      <c r="T59" s="277">
        <v>267</v>
      </c>
      <c r="U59" s="277">
        <v>196</v>
      </c>
      <c r="V59" s="277">
        <v>69</v>
      </c>
      <c r="W59" s="277">
        <v>-2</v>
      </c>
      <c r="X59" s="277">
        <v>0</v>
      </c>
      <c r="Y59" s="277">
        <v>0</v>
      </c>
      <c r="Z59" s="277">
        <v>0</v>
      </c>
      <c r="AA59" s="277">
        <v>0</v>
      </c>
      <c r="AB59" s="278">
        <v>0</v>
      </c>
    </row>
    <row r="60" spans="1:28" ht="15" customHeight="1">
      <c r="A60" s="258"/>
      <c r="B60" s="259" t="s">
        <v>193</v>
      </c>
      <c r="C60" s="260"/>
      <c r="D60" s="261"/>
      <c r="E60" s="280">
        <v>0</v>
      </c>
      <c r="F60" s="280">
        <v>0</v>
      </c>
      <c r="G60" s="280">
        <v>0</v>
      </c>
      <c r="H60" s="280">
        <v>0</v>
      </c>
      <c r="I60" s="280">
        <v>0</v>
      </c>
      <c r="J60" s="280">
        <v>0</v>
      </c>
      <c r="K60" s="280">
        <v>0</v>
      </c>
      <c r="L60" s="280">
        <v>0</v>
      </c>
      <c r="M60" s="280">
        <v>0</v>
      </c>
      <c r="N60" s="280">
        <v>0</v>
      </c>
      <c r="O60" s="280">
        <v>0</v>
      </c>
      <c r="P60" s="280">
        <v>0.96299999999999997</v>
      </c>
      <c r="Q60" s="280">
        <v>0.99199999999999999</v>
      </c>
      <c r="R60" s="280">
        <v>0.96599999999999997</v>
      </c>
      <c r="S60" s="280">
        <v>0.94499999999999995</v>
      </c>
      <c r="T60" s="280">
        <v>0.92400000000000004</v>
      </c>
      <c r="U60" s="280">
        <v>0.89700000000000002</v>
      </c>
      <c r="V60" s="280">
        <v>0.85299999999999998</v>
      </c>
      <c r="W60" s="280">
        <v>0</v>
      </c>
      <c r="X60" s="280">
        <v>0</v>
      </c>
      <c r="Y60" s="280">
        <v>0</v>
      </c>
      <c r="Z60" s="280">
        <v>0</v>
      </c>
      <c r="AA60" s="280">
        <v>0</v>
      </c>
      <c r="AB60" s="281">
        <v>0</v>
      </c>
    </row>
    <row r="61" spans="1:28" ht="15" customHeight="1" thickBot="1">
      <c r="A61" s="262"/>
      <c r="B61" s="263" t="s">
        <v>166</v>
      </c>
      <c r="C61" s="264"/>
      <c r="D61" s="265"/>
      <c r="E61" s="283">
        <v>0</v>
      </c>
      <c r="F61" s="283">
        <v>0</v>
      </c>
      <c r="G61" s="283">
        <v>0</v>
      </c>
      <c r="H61" s="283">
        <v>0</v>
      </c>
      <c r="I61" s="283">
        <v>5</v>
      </c>
      <c r="J61" s="283">
        <v>27</v>
      </c>
      <c r="K61" s="283">
        <v>43</v>
      </c>
      <c r="L61" s="283">
        <v>57</v>
      </c>
      <c r="M61" s="283">
        <v>64</v>
      </c>
      <c r="N61" s="283">
        <v>64</v>
      </c>
      <c r="O61" s="283">
        <v>61</v>
      </c>
      <c r="P61" s="283">
        <v>184</v>
      </c>
      <c r="Q61" s="283">
        <v>292</v>
      </c>
      <c r="R61" s="283">
        <v>348</v>
      </c>
      <c r="S61" s="283">
        <v>354</v>
      </c>
      <c r="T61" s="283">
        <v>298</v>
      </c>
      <c r="U61" s="283">
        <v>213</v>
      </c>
      <c r="V61" s="283">
        <v>76</v>
      </c>
      <c r="W61" s="283">
        <v>2</v>
      </c>
      <c r="X61" s="283">
        <v>0</v>
      </c>
      <c r="Y61" s="283">
        <v>0</v>
      </c>
      <c r="Z61" s="283">
        <v>0</v>
      </c>
      <c r="AA61" s="283">
        <v>0</v>
      </c>
      <c r="AB61" s="284">
        <v>0</v>
      </c>
    </row>
    <row r="62" spans="1:28" ht="15" customHeight="1">
      <c r="A62" s="254" t="s">
        <v>79</v>
      </c>
      <c r="B62" s="255" t="s">
        <v>164</v>
      </c>
      <c r="C62" s="256"/>
      <c r="D62" s="257"/>
      <c r="E62" s="277">
        <v>0</v>
      </c>
      <c r="F62" s="277">
        <v>0</v>
      </c>
      <c r="G62" s="277">
        <v>0</v>
      </c>
      <c r="H62" s="277">
        <v>0</v>
      </c>
      <c r="I62" s="277">
        <v>0</v>
      </c>
      <c r="J62" s="277">
        <v>0</v>
      </c>
      <c r="K62" s="277">
        <v>0</v>
      </c>
      <c r="L62" s="277">
        <v>0</v>
      </c>
      <c r="M62" s="277">
        <v>0</v>
      </c>
      <c r="N62" s="277">
        <v>0</v>
      </c>
      <c r="O62" s="277">
        <v>0</v>
      </c>
      <c r="P62" s="277">
        <v>19</v>
      </c>
      <c r="Q62" s="277">
        <v>172</v>
      </c>
      <c r="R62" s="277">
        <v>331</v>
      </c>
      <c r="S62" s="277">
        <v>434</v>
      </c>
      <c r="T62" s="277">
        <v>459</v>
      </c>
      <c r="U62" s="277">
        <v>427</v>
      </c>
      <c r="V62" s="277">
        <v>218</v>
      </c>
      <c r="W62" s="277">
        <v>0</v>
      </c>
      <c r="X62" s="277">
        <v>0</v>
      </c>
      <c r="Y62" s="277">
        <v>0</v>
      </c>
      <c r="Z62" s="277">
        <v>0</v>
      </c>
      <c r="AA62" s="277">
        <v>0</v>
      </c>
      <c r="AB62" s="278">
        <v>0</v>
      </c>
    </row>
    <row r="63" spans="1:28" ht="15" customHeight="1">
      <c r="A63" s="258"/>
      <c r="B63" s="259" t="s">
        <v>193</v>
      </c>
      <c r="C63" s="260"/>
      <c r="D63" s="261"/>
      <c r="E63" s="280">
        <v>0</v>
      </c>
      <c r="F63" s="280">
        <v>0</v>
      </c>
      <c r="G63" s="280">
        <v>0</v>
      </c>
      <c r="H63" s="280">
        <v>0</v>
      </c>
      <c r="I63" s="280">
        <v>0</v>
      </c>
      <c r="J63" s="280">
        <v>0</v>
      </c>
      <c r="K63" s="280">
        <v>0</v>
      </c>
      <c r="L63" s="280">
        <v>0</v>
      </c>
      <c r="M63" s="280">
        <v>0</v>
      </c>
      <c r="N63" s="280">
        <v>0</v>
      </c>
      <c r="O63" s="280">
        <v>0</v>
      </c>
      <c r="P63" s="280">
        <v>0</v>
      </c>
      <c r="Q63" s="280">
        <v>0.95099999999999996</v>
      </c>
      <c r="R63" s="280">
        <v>0.98</v>
      </c>
      <c r="S63" s="280">
        <v>0.995</v>
      </c>
      <c r="T63" s="280">
        <v>0.99399999999999999</v>
      </c>
      <c r="U63" s="280">
        <v>0.98499999999999999</v>
      </c>
      <c r="V63" s="280">
        <v>0.97499999999999998</v>
      </c>
      <c r="W63" s="280">
        <v>0</v>
      </c>
      <c r="X63" s="280">
        <v>0</v>
      </c>
      <c r="Y63" s="280">
        <v>0</v>
      </c>
      <c r="Z63" s="280">
        <v>0</v>
      </c>
      <c r="AA63" s="280">
        <v>0</v>
      </c>
      <c r="AB63" s="281">
        <v>0</v>
      </c>
    </row>
    <row r="64" spans="1:28" ht="15" customHeight="1" thickBot="1">
      <c r="A64" s="262"/>
      <c r="B64" s="263" t="s">
        <v>166</v>
      </c>
      <c r="C64" s="264"/>
      <c r="D64" s="265"/>
      <c r="E64" s="283">
        <v>0</v>
      </c>
      <c r="F64" s="283">
        <v>0</v>
      </c>
      <c r="G64" s="283">
        <v>0</v>
      </c>
      <c r="H64" s="283">
        <v>0</v>
      </c>
      <c r="I64" s="283">
        <v>5</v>
      </c>
      <c r="J64" s="283">
        <v>27</v>
      </c>
      <c r="K64" s="283">
        <v>43</v>
      </c>
      <c r="L64" s="283">
        <v>57</v>
      </c>
      <c r="M64" s="283">
        <v>64</v>
      </c>
      <c r="N64" s="283">
        <v>64</v>
      </c>
      <c r="O64" s="283">
        <v>61</v>
      </c>
      <c r="P64" s="283">
        <v>59</v>
      </c>
      <c r="Q64" s="283">
        <v>227</v>
      </c>
      <c r="R64" s="283">
        <v>389</v>
      </c>
      <c r="S64" s="283">
        <v>494</v>
      </c>
      <c r="T64" s="283">
        <v>507</v>
      </c>
      <c r="U64" s="283">
        <v>457</v>
      </c>
      <c r="V64" s="283">
        <v>229</v>
      </c>
      <c r="W64" s="283">
        <v>2</v>
      </c>
      <c r="X64" s="283">
        <v>0</v>
      </c>
      <c r="Y64" s="283">
        <v>0</v>
      </c>
      <c r="Z64" s="283">
        <v>0</v>
      </c>
      <c r="AA64" s="283">
        <v>0</v>
      </c>
      <c r="AB64" s="284">
        <v>0</v>
      </c>
    </row>
    <row r="65" spans="1:28" ht="15" customHeight="1">
      <c r="A65" s="266" t="s">
        <v>80</v>
      </c>
      <c r="B65" s="255" t="s">
        <v>164</v>
      </c>
      <c r="C65" s="256"/>
      <c r="D65" s="257"/>
      <c r="E65" s="277">
        <v>0</v>
      </c>
      <c r="F65" s="277">
        <v>0</v>
      </c>
      <c r="G65" s="277">
        <v>0</v>
      </c>
      <c r="H65" s="277">
        <v>0</v>
      </c>
      <c r="I65" s="277">
        <v>0</v>
      </c>
      <c r="J65" s="277">
        <v>0</v>
      </c>
      <c r="K65" s="277">
        <v>0</v>
      </c>
      <c r="L65" s="277">
        <v>0</v>
      </c>
      <c r="M65" s="277">
        <v>0</v>
      </c>
      <c r="N65" s="277">
        <v>0</v>
      </c>
      <c r="O65" s="277">
        <v>0</v>
      </c>
      <c r="P65" s="277">
        <v>0</v>
      </c>
      <c r="Q65" s="277">
        <v>10</v>
      </c>
      <c r="R65" s="277">
        <v>128</v>
      </c>
      <c r="S65" s="277">
        <v>266</v>
      </c>
      <c r="T65" s="277">
        <v>346</v>
      </c>
      <c r="U65" s="277">
        <v>372</v>
      </c>
      <c r="V65" s="277">
        <v>216</v>
      </c>
      <c r="W65" s="277">
        <v>0</v>
      </c>
      <c r="X65" s="277">
        <v>0</v>
      </c>
      <c r="Y65" s="277">
        <v>0</v>
      </c>
      <c r="Z65" s="277">
        <v>0</v>
      </c>
      <c r="AA65" s="277">
        <v>0</v>
      </c>
      <c r="AB65" s="278">
        <v>0</v>
      </c>
    </row>
    <row r="66" spans="1:28" ht="15" customHeight="1">
      <c r="A66" s="267"/>
      <c r="B66" s="259" t="s">
        <v>193</v>
      </c>
      <c r="C66" s="260"/>
      <c r="D66" s="261"/>
      <c r="E66" s="280">
        <v>0</v>
      </c>
      <c r="F66" s="280">
        <v>0</v>
      </c>
      <c r="G66" s="280">
        <v>0</v>
      </c>
      <c r="H66" s="280">
        <v>0</v>
      </c>
      <c r="I66" s="280">
        <v>0</v>
      </c>
      <c r="J66" s="280">
        <v>0</v>
      </c>
      <c r="K66" s="280">
        <v>0</v>
      </c>
      <c r="L66" s="280">
        <v>0</v>
      </c>
      <c r="M66" s="280">
        <v>0</v>
      </c>
      <c r="N66" s="280">
        <v>0</v>
      </c>
      <c r="O66" s="280">
        <v>0</v>
      </c>
      <c r="P66" s="280">
        <v>0</v>
      </c>
      <c r="Q66" s="280">
        <v>0</v>
      </c>
      <c r="R66" s="280">
        <v>0.88100000000000001</v>
      </c>
      <c r="S66" s="280">
        <v>0.92600000000000005</v>
      </c>
      <c r="T66" s="280">
        <v>0.94699999999999995</v>
      </c>
      <c r="U66" s="280">
        <v>0.96099999999999997</v>
      </c>
      <c r="V66" s="280">
        <v>0.97299999999999998</v>
      </c>
      <c r="W66" s="280">
        <v>0</v>
      </c>
      <c r="X66" s="280">
        <v>0</v>
      </c>
      <c r="Y66" s="280">
        <v>0</v>
      </c>
      <c r="Z66" s="280">
        <v>0</v>
      </c>
      <c r="AA66" s="280">
        <v>0</v>
      </c>
      <c r="AB66" s="281">
        <v>0</v>
      </c>
    </row>
    <row r="67" spans="1:28" ht="15" customHeight="1" thickBot="1">
      <c r="A67" s="268"/>
      <c r="B67" s="263" t="s">
        <v>166</v>
      </c>
      <c r="C67" s="264"/>
      <c r="D67" s="265"/>
      <c r="E67" s="283">
        <v>0</v>
      </c>
      <c r="F67" s="283">
        <v>0</v>
      </c>
      <c r="G67" s="283">
        <v>0</v>
      </c>
      <c r="H67" s="283">
        <v>0</v>
      </c>
      <c r="I67" s="283">
        <v>5</v>
      </c>
      <c r="J67" s="283">
        <v>27</v>
      </c>
      <c r="K67" s="283">
        <v>43</v>
      </c>
      <c r="L67" s="283">
        <v>57</v>
      </c>
      <c r="M67" s="283">
        <v>64</v>
      </c>
      <c r="N67" s="283">
        <v>64</v>
      </c>
      <c r="O67" s="283">
        <v>61</v>
      </c>
      <c r="P67" s="283">
        <v>59</v>
      </c>
      <c r="Q67" s="283">
        <v>63</v>
      </c>
      <c r="R67" s="283">
        <v>178</v>
      </c>
      <c r="S67" s="283">
        <v>310</v>
      </c>
      <c r="T67" s="283">
        <v>379</v>
      </c>
      <c r="U67" s="283">
        <v>394</v>
      </c>
      <c r="V67" s="283">
        <v>228</v>
      </c>
      <c r="W67" s="283">
        <v>2</v>
      </c>
      <c r="X67" s="283">
        <v>0</v>
      </c>
      <c r="Y67" s="283">
        <v>0</v>
      </c>
      <c r="Z67" s="283">
        <v>0</v>
      </c>
      <c r="AA67" s="283">
        <v>0</v>
      </c>
      <c r="AB67" s="284">
        <v>0</v>
      </c>
    </row>
    <row r="68" spans="1:28" ht="15" customHeight="1">
      <c r="A68" s="39" t="s">
        <v>195</v>
      </c>
      <c r="AB68" s="146"/>
    </row>
    <row r="69" spans="1:28" ht="15" customHeight="1">
      <c r="A69" s="238"/>
      <c r="B69" s="239"/>
      <c r="C69" s="240"/>
      <c r="D69" s="241"/>
      <c r="E69" s="270">
        <v>1</v>
      </c>
      <c r="F69" s="270">
        <v>2</v>
      </c>
      <c r="G69" s="270">
        <v>3</v>
      </c>
      <c r="H69" s="270">
        <v>4</v>
      </c>
      <c r="I69" s="270">
        <v>5</v>
      </c>
      <c r="J69" s="270">
        <v>6</v>
      </c>
      <c r="K69" s="270">
        <v>7</v>
      </c>
      <c r="L69" s="270">
        <v>8</v>
      </c>
      <c r="M69" s="270">
        <v>9</v>
      </c>
      <c r="N69" s="270">
        <v>10</v>
      </c>
      <c r="O69" s="270">
        <v>11</v>
      </c>
      <c r="P69" s="270">
        <v>12</v>
      </c>
      <c r="Q69" s="270">
        <v>13</v>
      </c>
      <c r="R69" s="270">
        <v>14</v>
      </c>
      <c r="S69" s="270">
        <v>15</v>
      </c>
      <c r="T69" s="270">
        <v>16</v>
      </c>
      <c r="U69" s="270">
        <v>17</v>
      </c>
      <c r="V69" s="270">
        <v>18</v>
      </c>
      <c r="W69" s="271">
        <v>19</v>
      </c>
      <c r="X69" s="271">
        <v>20</v>
      </c>
      <c r="Y69" s="271">
        <v>21</v>
      </c>
      <c r="Z69" s="271">
        <v>22</v>
      </c>
      <c r="AA69" s="271">
        <v>23</v>
      </c>
      <c r="AB69" s="272">
        <v>24</v>
      </c>
    </row>
    <row r="70" spans="1:28" ht="15" customHeight="1" thickBot="1">
      <c r="A70" s="242" t="s">
        <v>174</v>
      </c>
      <c r="B70" s="243" t="s">
        <v>160</v>
      </c>
      <c r="C70" s="244"/>
      <c r="D70" s="245"/>
      <c r="E70" s="247">
        <v>0</v>
      </c>
      <c r="F70" s="247">
        <v>0</v>
      </c>
      <c r="G70" s="247">
        <v>0</v>
      </c>
      <c r="H70" s="247">
        <v>0</v>
      </c>
      <c r="I70" s="247">
        <v>0</v>
      </c>
      <c r="J70" s="247">
        <v>27</v>
      </c>
      <c r="K70" s="247">
        <v>71</v>
      </c>
      <c r="L70" s="247">
        <v>105</v>
      </c>
      <c r="M70" s="247">
        <v>134</v>
      </c>
      <c r="N70" s="247">
        <v>154</v>
      </c>
      <c r="O70" s="247">
        <v>167</v>
      </c>
      <c r="P70" s="247">
        <v>167</v>
      </c>
      <c r="Q70" s="247">
        <v>158</v>
      </c>
      <c r="R70" s="247">
        <v>138</v>
      </c>
      <c r="S70" s="247">
        <v>116</v>
      </c>
      <c r="T70" s="247">
        <v>85</v>
      </c>
      <c r="U70" s="247">
        <v>38</v>
      </c>
      <c r="V70" s="247">
        <v>4</v>
      </c>
      <c r="W70" s="247">
        <v>0</v>
      </c>
      <c r="X70" s="247">
        <v>0</v>
      </c>
      <c r="Y70" s="247">
        <v>0</v>
      </c>
      <c r="Z70" s="247">
        <v>0</v>
      </c>
      <c r="AA70" s="247">
        <v>0</v>
      </c>
      <c r="AB70" s="248">
        <v>0</v>
      </c>
    </row>
    <row r="71" spans="1:28" ht="15" customHeight="1" thickBot="1">
      <c r="A71" s="249" t="s">
        <v>192</v>
      </c>
      <c r="B71" s="250" t="s">
        <v>162</v>
      </c>
      <c r="C71" s="251"/>
      <c r="D71" s="252"/>
      <c r="E71" s="274">
        <v>0</v>
      </c>
      <c r="F71" s="274">
        <v>0</v>
      </c>
      <c r="G71" s="274">
        <v>0</v>
      </c>
      <c r="H71" s="274">
        <v>0</v>
      </c>
      <c r="I71" s="274">
        <v>0</v>
      </c>
      <c r="J71" s="274">
        <v>15</v>
      </c>
      <c r="K71" s="274">
        <v>33</v>
      </c>
      <c r="L71" s="274">
        <v>48</v>
      </c>
      <c r="M71" s="274">
        <v>55</v>
      </c>
      <c r="N71" s="274">
        <v>56</v>
      </c>
      <c r="O71" s="274">
        <v>57</v>
      </c>
      <c r="P71" s="274">
        <v>56</v>
      </c>
      <c r="Q71" s="274">
        <v>57</v>
      </c>
      <c r="R71" s="274">
        <v>56</v>
      </c>
      <c r="S71" s="274">
        <v>51</v>
      </c>
      <c r="T71" s="274">
        <v>39</v>
      </c>
      <c r="U71" s="274">
        <v>19</v>
      </c>
      <c r="V71" s="274">
        <v>2</v>
      </c>
      <c r="W71" s="274">
        <v>0</v>
      </c>
      <c r="X71" s="274">
        <v>0</v>
      </c>
      <c r="Y71" s="274">
        <v>0</v>
      </c>
      <c r="Z71" s="274">
        <v>0</v>
      </c>
      <c r="AA71" s="274">
        <v>0</v>
      </c>
      <c r="AB71" s="275">
        <v>0</v>
      </c>
    </row>
    <row r="72" spans="1:28" ht="15" customHeight="1" thickBot="1">
      <c r="A72" s="253" t="s">
        <v>72</v>
      </c>
      <c r="B72" s="250" t="s">
        <v>163</v>
      </c>
      <c r="C72" s="251"/>
      <c r="D72" s="252"/>
      <c r="E72" s="274">
        <v>0</v>
      </c>
      <c r="F72" s="274">
        <v>0</v>
      </c>
      <c r="G72" s="274">
        <v>0</v>
      </c>
      <c r="H72" s="274">
        <v>0</v>
      </c>
      <c r="I72" s="274">
        <v>0</v>
      </c>
      <c r="J72" s="274">
        <v>27</v>
      </c>
      <c r="K72" s="274">
        <v>72</v>
      </c>
      <c r="L72" s="274">
        <v>105</v>
      </c>
      <c r="M72" s="274">
        <v>134</v>
      </c>
      <c r="N72" s="274">
        <v>154</v>
      </c>
      <c r="O72" s="274">
        <v>167</v>
      </c>
      <c r="P72" s="274">
        <v>167</v>
      </c>
      <c r="Q72" s="274">
        <v>158</v>
      </c>
      <c r="R72" s="274">
        <v>138</v>
      </c>
      <c r="S72" s="274">
        <v>116</v>
      </c>
      <c r="T72" s="274">
        <v>85</v>
      </c>
      <c r="U72" s="274">
        <v>38</v>
      </c>
      <c r="V72" s="274">
        <v>5</v>
      </c>
      <c r="W72" s="274">
        <v>0</v>
      </c>
      <c r="X72" s="274">
        <v>0</v>
      </c>
      <c r="Y72" s="274">
        <v>0</v>
      </c>
      <c r="Z72" s="274">
        <v>0</v>
      </c>
      <c r="AA72" s="274">
        <v>0</v>
      </c>
      <c r="AB72" s="275">
        <v>0</v>
      </c>
    </row>
    <row r="73" spans="1:28" ht="15" customHeight="1">
      <c r="A73" s="254" t="s">
        <v>73</v>
      </c>
      <c r="B73" s="255" t="s">
        <v>164</v>
      </c>
      <c r="C73" s="256"/>
      <c r="D73" s="257"/>
      <c r="E73" s="277">
        <v>0</v>
      </c>
      <c r="F73" s="277">
        <v>0</v>
      </c>
      <c r="G73" s="277">
        <v>0</v>
      </c>
      <c r="H73" s="277">
        <v>0</v>
      </c>
      <c r="I73" s="277">
        <v>0</v>
      </c>
      <c r="J73" s="277">
        <v>0</v>
      </c>
      <c r="K73" s="277">
        <v>0</v>
      </c>
      <c r="L73" s="277">
        <v>0</v>
      </c>
      <c r="M73" s="277">
        <v>0</v>
      </c>
      <c r="N73" s="277">
        <v>0</v>
      </c>
      <c r="O73" s="277">
        <v>0</v>
      </c>
      <c r="P73" s="277">
        <v>0</v>
      </c>
      <c r="Q73" s="277">
        <v>0</v>
      </c>
      <c r="R73" s="277">
        <v>0</v>
      </c>
      <c r="S73" s="277">
        <v>0</v>
      </c>
      <c r="T73" s="277">
        <v>0</v>
      </c>
      <c r="U73" s="277">
        <v>4</v>
      </c>
      <c r="V73" s="277">
        <v>0</v>
      </c>
      <c r="W73" s="277">
        <v>0</v>
      </c>
      <c r="X73" s="277">
        <v>0</v>
      </c>
      <c r="Y73" s="277">
        <v>0</v>
      </c>
      <c r="Z73" s="277">
        <v>0</v>
      </c>
      <c r="AA73" s="277">
        <v>0</v>
      </c>
      <c r="AB73" s="278">
        <v>0</v>
      </c>
    </row>
    <row r="74" spans="1:28" ht="15" customHeight="1">
      <c r="A74" s="258"/>
      <c r="B74" s="259" t="s">
        <v>193</v>
      </c>
      <c r="C74" s="260"/>
      <c r="D74" s="261"/>
      <c r="E74" s="280">
        <v>0</v>
      </c>
      <c r="F74" s="280">
        <v>0</v>
      </c>
      <c r="G74" s="280">
        <v>0</v>
      </c>
      <c r="H74" s="280">
        <v>0</v>
      </c>
      <c r="I74" s="280">
        <v>0</v>
      </c>
      <c r="J74" s="280">
        <v>0</v>
      </c>
      <c r="K74" s="280">
        <v>0</v>
      </c>
      <c r="L74" s="280">
        <v>0</v>
      </c>
      <c r="M74" s="280">
        <v>0</v>
      </c>
      <c r="N74" s="280">
        <v>0</v>
      </c>
      <c r="O74" s="280">
        <v>0</v>
      </c>
      <c r="P74" s="280">
        <v>0</v>
      </c>
      <c r="Q74" s="280">
        <v>0</v>
      </c>
      <c r="R74" s="280">
        <v>0</v>
      </c>
      <c r="S74" s="280">
        <v>0</v>
      </c>
      <c r="T74" s="280">
        <v>0</v>
      </c>
      <c r="U74" s="280">
        <v>0</v>
      </c>
      <c r="V74" s="280">
        <v>0</v>
      </c>
      <c r="W74" s="280">
        <v>0</v>
      </c>
      <c r="X74" s="280">
        <v>0</v>
      </c>
      <c r="Y74" s="280">
        <v>0</v>
      </c>
      <c r="Z74" s="280">
        <v>0</v>
      </c>
      <c r="AA74" s="280">
        <v>0</v>
      </c>
      <c r="AB74" s="281">
        <v>0</v>
      </c>
    </row>
    <row r="75" spans="1:28" ht="15" customHeight="1" thickBot="1">
      <c r="A75" s="262"/>
      <c r="B75" s="263" t="s">
        <v>166</v>
      </c>
      <c r="C75" s="264"/>
      <c r="D75" s="265"/>
      <c r="E75" s="283">
        <v>0</v>
      </c>
      <c r="F75" s="283">
        <v>0</v>
      </c>
      <c r="G75" s="283">
        <v>0</v>
      </c>
      <c r="H75" s="283">
        <v>0</v>
      </c>
      <c r="I75" s="283">
        <v>0</v>
      </c>
      <c r="J75" s="283">
        <v>15</v>
      </c>
      <c r="K75" s="283">
        <v>33</v>
      </c>
      <c r="L75" s="283">
        <v>48</v>
      </c>
      <c r="M75" s="283">
        <v>55</v>
      </c>
      <c r="N75" s="283">
        <v>56</v>
      </c>
      <c r="O75" s="283">
        <v>57</v>
      </c>
      <c r="P75" s="283">
        <v>56</v>
      </c>
      <c r="Q75" s="283">
        <v>57</v>
      </c>
      <c r="R75" s="283">
        <v>56</v>
      </c>
      <c r="S75" s="283">
        <v>51</v>
      </c>
      <c r="T75" s="283">
        <v>39</v>
      </c>
      <c r="U75" s="283">
        <v>19</v>
      </c>
      <c r="V75" s="283">
        <v>2</v>
      </c>
      <c r="W75" s="283">
        <v>0</v>
      </c>
      <c r="X75" s="283">
        <v>0</v>
      </c>
      <c r="Y75" s="283">
        <v>0</v>
      </c>
      <c r="Z75" s="283">
        <v>0</v>
      </c>
      <c r="AA75" s="283">
        <v>0</v>
      </c>
      <c r="AB75" s="284">
        <v>0</v>
      </c>
    </row>
    <row r="76" spans="1:28" ht="15" customHeight="1">
      <c r="A76" s="254" t="s">
        <v>74</v>
      </c>
      <c r="B76" s="255" t="s">
        <v>164</v>
      </c>
      <c r="C76" s="256"/>
      <c r="D76" s="257"/>
      <c r="E76" s="277">
        <v>0</v>
      </c>
      <c r="F76" s="277">
        <v>0</v>
      </c>
      <c r="G76" s="277">
        <v>0</v>
      </c>
      <c r="H76" s="277">
        <v>0</v>
      </c>
      <c r="I76" s="277">
        <v>0</v>
      </c>
      <c r="J76" s="277">
        <v>179</v>
      </c>
      <c r="K76" s="277">
        <v>191</v>
      </c>
      <c r="L76" s="277">
        <v>103</v>
      </c>
      <c r="M76" s="277">
        <v>6</v>
      </c>
      <c r="N76" s="277">
        <v>0</v>
      </c>
      <c r="O76" s="277">
        <v>0</v>
      </c>
      <c r="P76" s="277">
        <v>0</v>
      </c>
      <c r="Q76" s="277">
        <v>0</v>
      </c>
      <c r="R76" s="277">
        <v>0</v>
      </c>
      <c r="S76" s="277">
        <v>0</v>
      </c>
      <c r="T76" s="277">
        <v>0</v>
      </c>
      <c r="U76" s="277">
        <v>0</v>
      </c>
      <c r="V76" s="277">
        <v>0</v>
      </c>
      <c r="W76" s="277">
        <v>0</v>
      </c>
      <c r="X76" s="277">
        <v>0</v>
      </c>
      <c r="Y76" s="277">
        <v>0</v>
      </c>
      <c r="Z76" s="277">
        <v>0</v>
      </c>
      <c r="AA76" s="277">
        <v>0</v>
      </c>
      <c r="AB76" s="278">
        <v>0</v>
      </c>
    </row>
    <row r="77" spans="1:28" ht="15" customHeight="1">
      <c r="A77" s="258"/>
      <c r="B77" s="259" t="s">
        <v>193</v>
      </c>
      <c r="C77" s="260"/>
      <c r="D77" s="261"/>
      <c r="E77" s="280">
        <v>0</v>
      </c>
      <c r="F77" s="280">
        <v>0</v>
      </c>
      <c r="G77" s="280">
        <v>0</v>
      </c>
      <c r="H77" s="280">
        <v>0</v>
      </c>
      <c r="I77" s="280">
        <v>0</v>
      </c>
      <c r="J77" s="280">
        <v>0.92200000000000004</v>
      </c>
      <c r="K77" s="280">
        <v>0.89100000000000001</v>
      </c>
      <c r="L77" s="280">
        <v>0.82499999999999996</v>
      </c>
      <c r="M77" s="280">
        <v>0</v>
      </c>
      <c r="N77" s="280">
        <v>0</v>
      </c>
      <c r="O77" s="280">
        <v>0</v>
      </c>
      <c r="P77" s="280">
        <v>0</v>
      </c>
      <c r="Q77" s="280">
        <v>0</v>
      </c>
      <c r="R77" s="280">
        <v>0</v>
      </c>
      <c r="S77" s="280">
        <v>0</v>
      </c>
      <c r="T77" s="280">
        <v>0</v>
      </c>
      <c r="U77" s="280">
        <v>0</v>
      </c>
      <c r="V77" s="280">
        <v>0</v>
      </c>
      <c r="W77" s="280">
        <v>0</v>
      </c>
      <c r="X77" s="280">
        <v>0</v>
      </c>
      <c r="Y77" s="280">
        <v>0</v>
      </c>
      <c r="Z77" s="280">
        <v>0</v>
      </c>
      <c r="AA77" s="280">
        <v>0</v>
      </c>
      <c r="AB77" s="281">
        <v>0</v>
      </c>
    </row>
    <row r="78" spans="1:28" ht="15" customHeight="1" thickBot="1">
      <c r="A78" s="262"/>
      <c r="B78" s="263" t="s">
        <v>166</v>
      </c>
      <c r="C78" s="264"/>
      <c r="D78" s="265"/>
      <c r="E78" s="283">
        <v>0</v>
      </c>
      <c r="F78" s="283">
        <v>0</v>
      </c>
      <c r="G78" s="283">
        <v>0</v>
      </c>
      <c r="H78" s="283">
        <v>0</v>
      </c>
      <c r="I78" s="283">
        <v>0</v>
      </c>
      <c r="J78" s="283">
        <v>180</v>
      </c>
      <c r="K78" s="283">
        <v>204</v>
      </c>
      <c r="L78" s="283">
        <v>133</v>
      </c>
      <c r="M78" s="283">
        <v>55</v>
      </c>
      <c r="N78" s="283">
        <v>56</v>
      </c>
      <c r="O78" s="283">
        <v>57</v>
      </c>
      <c r="P78" s="283">
        <v>56</v>
      </c>
      <c r="Q78" s="283">
        <v>57</v>
      </c>
      <c r="R78" s="283">
        <v>56</v>
      </c>
      <c r="S78" s="283">
        <v>51</v>
      </c>
      <c r="T78" s="283">
        <v>39</v>
      </c>
      <c r="U78" s="283">
        <v>19</v>
      </c>
      <c r="V78" s="283">
        <v>2</v>
      </c>
      <c r="W78" s="283">
        <v>0</v>
      </c>
      <c r="X78" s="283">
        <v>0</v>
      </c>
      <c r="Y78" s="283">
        <v>0</v>
      </c>
      <c r="Z78" s="283">
        <v>0</v>
      </c>
      <c r="AA78" s="283">
        <v>0</v>
      </c>
      <c r="AB78" s="284">
        <v>0</v>
      </c>
    </row>
    <row r="79" spans="1:28" ht="15" customHeight="1">
      <c r="A79" s="254" t="s">
        <v>75</v>
      </c>
      <c r="B79" s="255" t="s">
        <v>164</v>
      </c>
      <c r="C79" s="256"/>
      <c r="D79" s="257"/>
      <c r="E79" s="277">
        <v>0</v>
      </c>
      <c r="F79" s="277">
        <v>0</v>
      </c>
      <c r="G79" s="277">
        <v>0</v>
      </c>
      <c r="H79" s="277">
        <v>0</v>
      </c>
      <c r="I79" s="277">
        <v>0</v>
      </c>
      <c r="J79" s="277">
        <v>304</v>
      </c>
      <c r="K79" s="277">
        <v>437</v>
      </c>
      <c r="L79" s="277">
        <v>444</v>
      </c>
      <c r="M79" s="277">
        <v>354</v>
      </c>
      <c r="N79" s="277">
        <v>186</v>
      </c>
      <c r="O79" s="277">
        <v>16</v>
      </c>
      <c r="P79" s="277">
        <v>0</v>
      </c>
      <c r="Q79" s="277">
        <v>0</v>
      </c>
      <c r="R79" s="277">
        <v>0</v>
      </c>
      <c r="S79" s="277">
        <v>0</v>
      </c>
      <c r="T79" s="277">
        <v>0</v>
      </c>
      <c r="U79" s="277">
        <v>0</v>
      </c>
      <c r="V79" s="277">
        <v>0</v>
      </c>
      <c r="W79" s="277">
        <v>0</v>
      </c>
      <c r="X79" s="277">
        <v>0</v>
      </c>
      <c r="Y79" s="277">
        <v>0</v>
      </c>
      <c r="Z79" s="277">
        <v>0</v>
      </c>
      <c r="AA79" s="277">
        <v>0</v>
      </c>
      <c r="AB79" s="278">
        <v>0</v>
      </c>
    </row>
    <row r="80" spans="1:28" ht="15" customHeight="1">
      <c r="A80" s="258"/>
      <c r="B80" s="259" t="s">
        <v>193</v>
      </c>
      <c r="C80" s="260"/>
      <c r="D80" s="261"/>
      <c r="E80" s="280">
        <v>0</v>
      </c>
      <c r="F80" s="280">
        <v>0</v>
      </c>
      <c r="G80" s="280">
        <v>0</v>
      </c>
      <c r="H80" s="280">
        <v>0</v>
      </c>
      <c r="I80" s="280">
        <v>0</v>
      </c>
      <c r="J80" s="280">
        <v>0.99399999999999999</v>
      </c>
      <c r="K80" s="280">
        <v>0.98299999999999998</v>
      </c>
      <c r="L80" s="280">
        <v>0.97</v>
      </c>
      <c r="M80" s="280">
        <v>0.95</v>
      </c>
      <c r="N80" s="280">
        <v>0.91</v>
      </c>
      <c r="O80" s="280">
        <v>0</v>
      </c>
      <c r="P80" s="280">
        <v>0</v>
      </c>
      <c r="Q80" s="280">
        <v>0</v>
      </c>
      <c r="R80" s="280">
        <v>0</v>
      </c>
      <c r="S80" s="280">
        <v>0</v>
      </c>
      <c r="T80" s="280">
        <v>0</v>
      </c>
      <c r="U80" s="280">
        <v>0</v>
      </c>
      <c r="V80" s="280">
        <v>0</v>
      </c>
      <c r="W80" s="280">
        <v>0</v>
      </c>
      <c r="X80" s="280">
        <v>0</v>
      </c>
      <c r="Y80" s="280">
        <v>0</v>
      </c>
      <c r="Z80" s="280">
        <v>0</v>
      </c>
      <c r="AA80" s="280">
        <v>0</v>
      </c>
      <c r="AB80" s="281">
        <v>0</v>
      </c>
    </row>
    <row r="81" spans="1:28" ht="15" customHeight="1" thickBot="1">
      <c r="A81" s="262"/>
      <c r="B81" s="263" t="s">
        <v>166</v>
      </c>
      <c r="C81" s="264"/>
      <c r="D81" s="265"/>
      <c r="E81" s="283">
        <v>0</v>
      </c>
      <c r="F81" s="283">
        <v>0</v>
      </c>
      <c r="G81" s="283">
        <v>0</v>
      </c>
      <c r="H81" s="283">
        <v>0</v>
      </c>
      <c r="I81" s="283">
        <v>0</v>
      </c>
      <c r="J81" s="283">
        <v>317</v>
      </c>
      <c r="K81" s="283">
        <v>463</v>
      </c>
      <c r="L81" s="283">
        <v>478</v>
      </c>
      <c r="M81" s="283">
        <v>391</v>
      </c>
      <c r="N81" s="283">
        <v>225</v>
      </c>
      <c r="O81" s="283">
        <v>57</v>
      </c>
      <c r="P81" s="283">
        <v>56</v>
      </c>
      <c r="Q81" s="283">
        <v>57</v>
      </c>
      <c r="R81" s="283">
        <v>56</v>
      </c>
      <c r="S81" s="283">
        <v>51</v>
      </c>
      <c r="T81" s="283">
        <v>39</v>
      </c>
      <c r="U81" s="283">
        <v>19</v>
      </c>
      <c r="V81" s="283">
        <v>2</v>
      </c>
      <c r="W81" s="283">
        <v>0</v>
      </c>
      <c r="X81" s="283">
        <v>0</v>
      </c>
      <c r="Y81" s="283">
        <v>0</v>
      </c>
      <c r="Z81" s="283">
        <v>0</v>
      </c>
      <c r="AA81" s="283">
        <v>0</v>
      </c>
      <c r="AB81" s="284">
        <v>0</v>
      </c>
    </row>
    <row r="82" spans="1:28" ht="15" customHeight="1">
      <c r="A82" s="254" t="s">
        <v>76</v>
      </c>
      <c r="B82" s="255" t="s">
        <v>164</v>
      </c>
      <c r="C82" s="256"/>
      <c r="D82" s="257"/>
      <c r="E82" s="277">
        <v>0</v>
      </c>
      <c r="F82" s="277">
        <v>0</v>
      </c>
      <c r="G82" s="277">
        <v>0</v>
      </c>
      <c r="H82" s="277">
        <v>0</v>
      </c>
      <c r="I82" s="277">
        <v>0</v>
      </c>
      <c r="J82" s="277">
        <v>233</v>
      </c>
      <c r="K82" s="277">
        <v>389</v>
      </c>
      <c r="L82" s="277">
        <v>466</v>
      </c>
      <c r="M82" s="277">
        <v>468</v>
      </c>
      <c r="N82" s="277">
        <v>403</v>
      </c>
      <c r="O82" s="277">
        <v>279</v>
      </c>
      <c r="P82" s="277">
        <v>111</v>
      </c>
      <c r="Q82" s="277">
        <v>0</v>
      </c>
      <c r="R82" s="277">
        <v>0</v>
      </c>
      <c r="S82" s="277">
        <v>0</v>
      </c>
      <c r="T82" s="277">
        <v>0</v>
      </c>
      <c r="U82" s="277">
        <v>0</v>
      </c>
      <c r="V82" s="277">
        <v>-2</v>
      </c>
      <c r="W82" s="277">
        <v>0</v>
      </c>
      <c r="X82" s="277">
        <v>0</v>
      </c>
      <c r="Y82" s="277">
        <v>0</v>
      </c>
      <c r="Z82" s="277">
        <v>0</v>
      </c>
      <c r="AA82" s="277">
        <v>0</v>
      </c>
      <c r="AB82" s="278">
        <v>0</v>
      </c>
    </row>
    <row r="83" spans="1:28" ht="15" customHeight="1">
      <c r="A83" s="258"/>
      <c r="B83" s="259" t="s">
        <v>193</v>
      </c>
      <c r="C83" s="260"/>
      <c r="D83" s="261"/>
      <c r="E83" s="280">
        <v>0</v>
      </c>
      <c r="F83" s="280">
        <v>0</v>
      </c>
      <c r="G83" s="280">
        <v>0</v>
      </c>
      <c r="H83" s="280">
        <v>0</v>
      </c>
      <c r="I83" s="280">
        <v>0</v>
      </c>
      <c r="J83" s="280">
        <v>0.94799999999999995</v>
      </c>
      <c r="K83" s="280">
        <v>0.96299999999999997</v>
      </c>
      <c r="L83" s="280">
        <v>0.97699999999999998</v>
      </c>
      <c r="M83" s="280">
        <v>0.99199999999999999</v>
      </c>
      <c r="N83" s="280">
        <v>0.98899999999999999</v>
      </c>
      <c r="O83" s="280">
        <v>0.95799999999999996</v>
      </c>
      <c r="P83" s="280">
        <v>0.88600000000000001</v>
      </c>
      <c r="Q83" s="280">
        <v>0</v>
      </c>
      <c r="R83" s="280">
        <v>0</v>
      </c>
      <c r="S83" s="280">
        <v>0</v>
      </c>
      <c r="T83" s="280">
        <v>0</v>
      </c>
      <c r="U83" s="280">
        <v>0</v>
      </c>
      <c r="V83" s="280">
        <v>0</v>
      </c>
      <c r="W83" s="280">
        <v>0</v>
      </c>
      <c r="X83" s="280">
        <v>0</v>
      </c>
      <c r="Y83" s="280">
        <v>0</v>
      </c>
      <c r="Z83" s="280">
        <v>0</v>
      </c>
      <c r="AA83" s="280">
        <v>0</v>
      </c>
      <c r="AB83" s="281">
        <v>0</v>
      </c>
    </row>
    <row r="84" spans="1:28" ht="15" customHeight="1" thickBot="1">
      <c r="A84" s="262"/>
      <c r="B84" s="263" t="s">
        <v>166</v>
      </c>
      <c r="C84" s="264"/>
      <c r="D84" s="265"/>
      <c r="E84" s="283">
        <v>0</v>
      </c>
      <c r="F84" s="283">
        <v>0</v>
      </c>
      <c r="G84" s="283">
        <v>0</v>
      </c>
      <c r="H84" s="283">
        <v>0</v>
      </c>
      <c r="I84" s="283">
        <v>0</v>
      </c>
      <c r="J84" s="283">
        <v>236</v>
      </c>
      <c r="K84" s="283">
        <v>408</v>
      </c>
      <c r="L84" s="283">
        <v>503</v>
      </c>
      <c r="M84" s="283">
        <v>519</v>
      </c>
      <c r="N84" s="283">
        <v>455</v>
      </c>
      <c r="O84" s="283">
        <v>324</v>
      </c>
      <c r="P84" s="283">
        <v>154</v>
      </c>
      <c r="Q84" s="283">
        <v>57</v>
      </c>
      <c r="R84" s="283">
        <v>56</v>
      </c>
      <c r="S84" s="283">
        <v>51</v>
      </c>
      <c r="T84" s="283">
        <v>39</v>
      </c>
      <c r="U84" s="283">
        <v>19</v>
      </c>
      <c r="V84" s="283">
        <v>2</v>
      </c>
      <c r="W84" s="283">
        <v>0</v>
      </c>
      <c r="X84" s="283">
        <v>0</v>
      </c>
      <c r="Y84" s="283">
        <v>0</v>
      </c>
      <c r="Z84" s="283">
        <v>0</v>
      </c>
      <c r="AA84" s="283">
        <v>0</v>
      </c>
      <c r="AB84" s="284">
        <v>0</v>
      </c>
    </row>
    <row r="85" spans="1:28" ht="15" customHeight="1">
      <c r="A85" s="254" t="s">
        <v>77</v>
      </c>
      <c r="B85" s="255" t="s">
        <v>164</v>
      </c>
      <c r="C85" s="256"/>
      <c r="D85" s="257"/>
      <c r="E85" s="277">
        <v>0</v>
      </c>
      <c r="F85" s="277">
        <v>0</v>
      </c>
      <c r="G85" s="277">
        <v>0</v>
      </c>
      <c r="H85" s="277">
        <v>0</v>
      </c>
      <c r="I85" s="277">
        <v>0</v>
      </c>
      <c r="J85" s="277">
        <v>16</v>
      </c>
      <c r="K85" s="277">
        <v>87</v>
      </c>
      <c r="L85" s="277">
        <v>183</v>
      </c>
      <c r="M85" s="277">
        <v>269</v>
      </c>
      <c r="N85" s="277">
        <v>328</v>
      </c>
      <c r="O85" s="277">
        <v>351</v>
      </c>
      <c r="P85" s="277">
        <v>333</v>
      </c>
      <c r="Q85" s="277">
        <v>274</v>
      </c>
      <c r="R85" s="277">
        <v>183</v>
      </c>
      <c r="S85" s="277">
        <v>76</v>
      </c>
      <c r="T85" s="277">
        <v>5</v>
      </c>
      <c r="U85" s="277">
        <v>0</v>
      </c>
      <c r="V85" s="277">
        <v>-4</v>
      </c>
      <c r="W85" s="277">
        <v>0</v>
      </c>
      <c r="X85" s="277">
        <v>0</v>
      </c>
      <c r="Y85" s="277">
        <v>0</v>
      </c>
      <c r="Z85" s="277">
        <v>0</v>
      </c>
      <c r="AA85" s="277">
        <v>0</v>
      </c>
      <c r="AB85" s="278">
        <v>0</v>
      </c>
    </row>
    <row r="86" spans="1:28" ht="15" customHeight="1">
      <c r="A86" s="258"/>
      <c r="B86" s="259" t="s">
        <v>193</v>
      </c>
      <c r="C86" s="260"/>
      <c r="D86" s="261"/>
      <c r="E86" s="280">
        <v>0</v>
      </c>
      <c r="F86" s="280">
        <v>0</v>
      </c>
      <c r="G86" s="280">
        <v>0</v>
      </c>
      <c r="H86" s="280">
        <v>0</v>
      </c>
      <c r="I86" s="280">
        <v>0</v>
      </c>
      <c r="J86" s="280">
        <v>0.375</v>
      </c>
      <c r="K86" s="280">
        <v>0.76</v>
      </c>
      <c r="L86" s="280">
        <v>0.86399999999999999</v>
      </c>
      <c r="M86" s="280">
        <v>0.91800000000000004</v>
      </c>
      <c r="N86" s="280">
        <v>0.95599999999999996</v>
      </c>
      <c r="O86" s="280">
        <v>0.98699999999999999</v>
      </c>
      <c r="P86" s="280">
        <v>0.98199999999999998</v>
      </c>
      <c r="Q86" s="280">
        <v>0.94599999999999995</v>
      </c>
      <c r="R86" s="280">
        <v>0.89500000000000002</v>
      </c>
      <c r="S86" s="280">
        <v>0.79900000000000004</v>
      </c>
      <c r="T86" s="280">
        <v>0.47599999999999998</v>
      </c>
      <c r="U86" s="280">
        <v>0</v>
      </c>
      <c r="V86" s="280">
        <v>0</v>
      </c>
      <c r="W86" s="280">
        <v>0</v>
      </c>
      <c r="X86" s="280">
        <v>0</v>
      </c>
      <c r="Y86" s="280">
        <v>0</v>
      </c>
      <c r="Z86" s="280">
        <v>0</v>
      </c>
      <c r="AA86" s="280">
        <v>0</v>
      </c>
      <c r="AB86" s="281">
        <v>0</v>
      </c>
    </row>
    <row r="87" spans="1:28" ht="15" customHeight="1" thickBot="1">
      <c r="A87" s="262"/>
      <c r="B87" s="263" t="s">
        <v>166</v>
      </c>
      <c r="C87" s="264"/>
      <c r="D87" s="265"/>
      <c r="E87" s="283">
        <v>0</v>
      </c>
      <c r="F87" s="283">
        <v>0</v>
      </c>
      <c r="G87" s="283">
        <v>0</v>
      </c>
      <c r="H87" s="283">
        <v>0</v>
      </c>
      <c r="I87" s="283">
        <v>0</v>
      </c>
      <c r="J87" s="283">
        <v>21</v>
      </c>
      <c r="K87" s="283">
        <v>99</v>
      </c>
      <c r="L87" s="283">
        <v>206</v>
      </c>
      <c r="M87" s="283">
        <v>302</v>
      </c>
      <c r="N87" s="283">
        <v>369</v>
      </c>
      <c r="O87" s="283">
        <v>403</v>
      </c>
      <c r="P87" s="283">
        <v>383</v>
      </c>
      <c r="Q87" s="283">
        <v>316</v>
      </c>
      <c r="R87" s="283">
        <v>220</v>
      </c>
      <c r="S87" s="283">
        <v>112</v>
      </c>
      <c r="T87" s="283">
        <v>42</v>
      </c>
      <c r="U87" s="283">
        <v>19</v>
      </c>
      <c r="V87" s="283">
        <v>2</v>
      </c>
      <c r="W87" s="283">
        <v>0</v>
      </c>
      <c r="X87" s="283">
        <v>0</v>
      </c>
      <c r="Y87" s="283">
        <v>0</v>
      </c>
      <c r="Z87" s="283">
        <v>0</v>
      </c>
      <c r="AA87" s="283">
        <v>0</v>
      </c>
      <c r="AB87" s="284">
        <v>0</v>
      </c>
    </row>
    <row r="88" spans="1:28" ht="15" customHeight="1">
      <c r="A88" s="254" t="s">
        <v>78</v>
      </c>
      <c r="B88" s="255" t="s">
        <v>164</v>
      </c>
      <c r="C88" s="256"/>
      <c r="D88" s="257"/>
      <c r="E88" s="277">
        <v>0</v>
      </c>
      <c r="F88" s="277">
        <v>0</v>
      </c>
      <c r="G88" s="277">
        <v>0</v>
      </c>
      <c r="H88" s="277">
        <v>0</v>
      </c>
      <c r="I88" s="277">
        <v>0</v>
      </c>
      <c r="J88" s="277">
        <v>0</v>
      </c>
      <c r="K88" s="277">
        <v>0</v>
      </c>
      <c r="L88" s="277">
        <v>0</v>
      </c>
      <c r="M88" s="277">
        <v>0</v>
      </c>
      <c r="N88" s="277">
        <v>35</v>
      </c>
      <c r="O88" s="277">
        <v>165</v>
      </c>
      <c r="P88" s="277">
        <v>301</v>
      </c>
      <c r="Q88" s="277">
        <v>396</v>
      </c>
      <c r="R88" s="277">
        <v>445</v>
      </c>
      <c r="S88" s="277">
        <v>424</v>
      </c>
      <c r="T88" s="277">
        <v>326</v>
      </c>
      <c r="U88" s="277">
        <v>185</v>
      </c>
      <c r="V88" s="277">
        <v>-3</v>
      </c>
      <c r="W88" s="277">
        <v>0</v>
      </c>
      <c r="X88" s="277">
        <v>0</v>
      </c>
      <c r="Y88" s="277">
        <v>0</v>
      </c>
      <c r="Z88" s="277">
        <v>0</v>
      </c>
      <c r="AA88" s="277">
        <v>0</v>
      </c>
      <c r="AB88" s="278">
        <v>0</v>
      </c>
    </row>
    <row r="89" spans="1:28" ht="15" customHeight="1">
      <c r="A89" s="258"/>
      <c r="B89" s="259" t="s">
        <v>193</v>
      </c>
      <c r="C89" s="260"/>
      <c r="D89" s="261"/>
      <c r="E89" s="280">
        <v>0</v>
      </c>
      <c r="F89" s="280">
        <v>0</v>
      </c>
      <c r="G89" s="280">
        <v>0</v>
      </c>
      <c r="H89" s="280">
        <v>0</v>
      </c>
      <c r="I89" s="280">
        <v>0</v>
      </c>
      <c r="J89" s="280">
        <v>0</v>
      </c>
      <c r="K89" s="280">
        <v>0</v>
      </c>
      <c r="L89" s="280">
        <v>0</v>
      </c>
      <c r="M89" s="280">
        <v>0</v>
      </c>
      <c r="N89" s="280">
        <v>0</v>
      </c>
      <c r="O89" s="280">
        <v>0.90300000000000002</v>
      </c>
      <c r="P89" s="280">
        <v>0.96399999999999997</v>
      </c>
      <c r="Q89" s="280">
        <v>0.995</v>
      </c>
      <c r="R89" s="280">
        <v>0.98399999999999999</v>
      </c>
      <c r="S89" s="280">
        <v>0.96699999999999997</v>
      </c>
      <c r="T89" s="280">
        <v>0.95</v>
      </c>
      <c r="U89" s="280">
        <v>0.93100000000000005</v>
      </c>
      <c r="V89" s="280">
        <v>0</v>
      </c>
      <c r="W89" s="280">
        <v>0</v>
      </c>
      <c r="X89" s="280">
        <v>0</v>
      </c>
      <c r="Y89" s="280">
        <v>0</v>
      </c>
      <c r="Z89" s="280">
        <v>0</v>
      </c>
      <c r="AA89" s="280">
        <v>0</v>
      </c>
      <c r="AB89" s="281">
        <v>0</v>
      </c>
    </row>
    <row r="90" spans="1:28" ht="15" customHeight="1" thickBot="1">
      <c r="A90" s="262"/>
      <c r="B90" s="263" t="s">
        <v>166</v>
      </c>
      <c r="C90" s="264"/>
      <c r="D90" s="265"/>
      <c r="E90" s="283">
        <v>0</v>
      </c>
      <c r="F90" s="283">
        <v>0</v>
      </c>
      <c r="G90" s="283">
        <v>0</v>
      </c>
      <c r="H90" s="283">
        <v>0</v>
      </c>
      <c r="I90" s="283">
        <v>0</v>
      </c>
      <c r="J90" s="283">
        <v>15</v>
      </c>
      <c r="K90" s="283">
        <v>33</v>
      </c>
      <c r="L90" s="283">
        <v>48</v>
      </c>
      <c r="M90" s="283">
        <v>55</v>
      </c>
      <c r="N90" s="283">
        <v>56</v>
      </c>
      <c r="O90" s="283">
        <v>206</v>
      </c>
      <c r="P90" s="283">
        <v>346</v>
      </c>
      <c r="Q90" s="283">
        <v>451</v>
      </c>
      <c r="R90" s="283">
        <v>494</v>
      </c>
      <c r="S90" s="283">
        <v>461</v>
      </c>
      <c r="T90" s="283">
        <v>349</v>
      </c>
      <c r="U90" s="283">
        <v>191</v>
      </c>
      <c r="V90" s="283">
        <v>2</v>
      </c>
      <c r="W90" s="283">
        <v>0</v>
      </c>
      <c r="X90" s="283">
        <v>0</v>
      </c>
      <c r="Y90" s="283">
        <v>0</v>
      </c>
      <c r="Z90" s="283">
        <v>0</v>
      </c>
      <c r="AA90" s="283">
        <v>0</v>
      </c>
      <c r="AB90" s="284">
        <v>0</v>
      </c>
    </row>
    <row r="91" spans="1:28" ht="15" customHeight="1">
      <c r="A91" s="254" t="s">
        <v>79</v>
      </c>
      <c r="B91" s="255" t="s">
        <v>164</v>
      </c>
      <c r="C91" s="256"/>
      <c r="D91" s="257"/>
      <c r="E91" s="277">
        <v>0</v>
      </c>
      <c r="F91" s="277">
        <v>0</v>
      </c>
      <c r="G91" s="277">
        <v>0</v>
      </c>
      <c r="H91" s="277">
        <v>0</v>
      </c>
      <c r="I91" s="277">
        <v>0</v>
      </c>
      <c r="J91" s="277">
        <v>0</v>
      </c>
      <c r="K91" s="277">
        <v>0</v>
      </c>
      <c r="L91" s="277">
        <v>0</v>
      </c>
      <c r="M91" s="277">
        <v>0</v>
      </c>
      <c r="N91" s="277">
        <v>0</v>
      </c>
      <c r="O91" s="277">
        <v>0</v>
      </c>
      <c r="P91" s="277">
        <v>56</v>
      </c>
      <c r="Q91" s="277">
        <v>236</v>
      </c>
      <c r="R91" s="277">
        <v>390</v>
      </c>
      <c r="S91" s="277">
        <v>464</v>
      </c>
      <c r="T91" s="277">
        <v>427</v>
      </c>
      <c r="U91" s="277">
        <v>288</v>
      </c>
      <c r="V91" s="277">
        <v>0</v>
      </c>
      <c r="W91" s="277">
        <v>0</v>
      </c>
      <c r="X91" s="277">
        <v>0</v>
      </c>
      <c r="Y91" s="277">
        <v>0</v>
      </c>
      <c r="Z91" s="277">
        <v>0</v>
      </c>
      <c r="AA91" s="277">
        <v>0</v>
      </c>
      <c r="AB91" s="278">
        <v>0</v>
      </c>
    </row>
    <row r="92" spans="1:28" ht="15" customHeight="1">
      <c r="A92" s="258"/>
      <c r="B92" s="259" t="s">
        <v>193</v>
      </c>
      <c r="C92" s="260"/>
      <c r="D92" s="261"/>
      <c r="E92" s="280">
        <v>0</v>
      </c>
      <c r="F92" s="280">
        <v>0</v>
      </c>
      <c r="G92" s="280">
        <v>0</v>
      </c>
      <c r="H92" s="280">
        <v>0</v>
      </c>
      <c r="I92" s="280">
        <v>0</v>
      </c>
      <c r="J92" s="280">
        <v>0</v>
      </c>
      <c r="K92" s="280">
        <v>0</v>
      </c>
      <c r="L92" s="280">
        <v>0</v>
      </c>
      <c r="M92" s="280">
        <v>0</v>
      </c>
      <c r="N92" s="280">
        <v>0</v>
      </c>
      <c r="O92" s="280">
        <v>0</v>
      </c>
      <c r="P92" s="280">
        <v>0</v>
      </c>
      <c r="Q92" s="280">
        <v>0.92600000000000005</v>
      </c>
      <c r="R92" s="280">
        <v>0.96199999999999997</v>
      </c>
      <c r="S92" s="280">
        <v>0.98</v>
      </c>
      <c r="T92" s="280">
        <v>0.99199999999999999</v>
      </c>
      <c r="U92" s="280">
        <v>0.997</v>
      </c>
      <c r="V92" s="280">
        <v>0</v>
      </c>
      <c r="W92" s="280">
        <v>0</v>
      </c>
      <c r="X92" s="280">
        <v>0</v>
      </c>
      <c r="Y92" s="280">
        <v>0</v>
      </c>
      <c r="Z92" s="280">
        <v>0</v>
      </c>
      <c r="AA92" s="280">
        <v>0</v>
      </c>
      <c r="AB92" s="281">
        <v>0</v>
      </c>
    </row>
    <row r="93" spans="1:28" ht="15" customHeight="1" thickBot="1">
      <c r="A93" s="262"/>
      <c r="B93" s="263" t="s">
        <v>166</v>
      </c>
      <c r="C93" s="264"/>
      <c r="D93" s="265"/>
      <c r="E93" s="283">
        <v>0</v>
      </c>
      <c r="F93" s="283">
        <v>0</v>
      </c>
      <c r="G93" s="283">
        <v>0</v>
      </c>
      <c r="H93" s="283">
        <v>0</v>
      </c>
      <c r="I93" s="283">
        <v>0</v>
      </c>
      <c r="J93" s="283">
        <v>15</v>
      </c>
      <c r="K93" s="283">
        <v>33</v>
      </c>
      <c r="L93" s="283">
        <v>48</v>
      </c>
      <c r="M93" s="283">
        <v>55</v>
      </c>
      <c r="N93" s="283">
        <v>56</v>
      </c>
      <c r="O93" s="283">
        <v>57</v>
      </c>
      <c r="P93" s="283">
        <v>56</v>
      </c>
      <c r="Q93" s="283">
        <v>275</v>
      </c>
      <c r="R93" s="283">
        <v>431</v>
      </c>
      <c r="S93" s="283">
        <v>506</v>
      </c>
      <c r="T93" s="283">
        <v>463</v>
      </c>
      <c r="U93" s="283">
        <v>306</v>
      </c>
      <c r="V93" s="283">
        <v>2</v>
      </c>
      <c r="W93" s="283">
        <v>0</v>
      </c>
      <c r="X93" s="283">
        <v>0</v>
      </c>
      <c r="Y93" s="283">
        <v>0</v>
      </c>
      <c r="Z93" s="283">
        <v>0</v>
      </c>
      <c r="AA93" s="283">
        <v>0</v>
      </c>
      <c r="AB93" s="284">
        <v>0</v>
      </c>
    </row>
    <row r="94" spans="1:28" ht="15" customHeight="1">
      <c r="A94" s="266" t="s">
        <v>80</v>
      </c>
      <c r="B94" s="255" t="s">
        <v>164</v>
      </c>
      <c r="C94" s="256"/>
      <c r="D94" s="257"/>
      <c r="E94" s="277">
        <v>0</v>
      </c>
      <c r="F94" s="277">
        <v>0</v>
      </c>
      <c r="G94" s="277">
        <v>0</v>
      </c>
      <c r="H94" s="277">
        <v>0</v>
      </c>
      <c r="I94" s="277">
        <v>0</v>
      </c>
      <c r="J94" s="277">
        <v>0</v>
      </c>
      <c r="K94" s="277">
        <v>0</v>
      </c>
      <c r="L94" s="277">
        <v>0</v>
      </c>
      <c r="M94" s="277">
        <v>0</v>
      </c>
      <c r="N94" s="277">
        <v>0</v>
      </c>
      <c r="O94" s="277">
        <v>0</v>
      </c>
      <c r="P94" s="277">
        <v>0</v>
      </c>
      <c r="Q94" s="277">
        <v>0</v>
      </c>
      <c r="R94" s="277">
        <v>71</v>
      </c>
      <c r="S94" s="277">
        <v>199</v>
      </c>
      <c r="T94" s="277">
        <v>253</v>
      </c>
      <c r="U94" s="277">
        <v>208</v>
      </c>
      <c r="V94" s="277">
        <v>0</v>
      </c>
      <c r="W94" s="277">
        <v>0</v>
      </c>
      <c r="X94" s="277">
        <v>0</v>
      </c>
      <c r="Y94" s="277">
        <v>0</v>
      </c>
      <c r="Z94" s="277">
        <v>0</v>
      </c>
      <c r="AA94" s="277">
        <v>0</v>
      </c>
      <c r="AB94" s="278">
        <v>0</v>
      </c>
    </row>
    <row r="95" spans="1:28" ht="15" customHeight="1">
      <c r="A95" s="267"/>
      <c r="B95" s="259" t="s">
        <v>193</v>
      </c>
      <c r="C95" s="260"/>
      <c r="D95" s="261"/>
      <c r="E95" s="280">
        <v>0</v>
      </c>
      <c r="F95" s="280">
        <v>0</v>
      </c>
      <c r="G95" s="280">
        <v>0</v>
      </c>
      <c r="H95" s="280">
        <v>0</v>
      </c>
      <c r="I95" s="280">
        <v>0</v>
      </c>
      <c r="J95" s="280">
        <v>0</v>
      </c>
      <c r="K95" s="280">
        <v>0</v>
      </c>
      <c r="L95" s="280">
        <v>0</v>
      </c>
      <c r="M95" s="280">
        <v>0</v>
      </c>
      <c r="N95" s="280">
        <v>0</v>
      </c>
      <c r="O95" s="280">
        <v>0</v>
      </c>
      <c r="P95" s="280">
        <v>0</v>
      </c>
      <c r="Q95" s="280">
        <v>0</v>
      </c>
      <c r="R95" s="280">
        <v>0.745</v>
      </c>
      <c r="S95" s="280">
        <v>0.878</v>
      </c>
      <c r="T95" s="280">
        <v>0.91900000000000004</v>
      </c>
      <c r="U95" s="280">
        <v>0.94199999999999995</v>
      </c>
      <c r="V95" s="280">
        <v>0</v>
      </c>
      <c r="W95" s="280">
        <v>0</v>
      </c>
      <c r="X95" s="280">
        <v>0</v>
      </c>
      <c r="Y95" s="280">
        <v>0</v>
      </c>
      <c r="Z95" s="280">
        <v>0</v>
      </c>
      <c r="AA95" s="280">
        <v>0</v>
      </c>
      <c r="AB95" s="281">
        <v>0</v>
      </c>
    </row>
    <row r="96" spans="1:28" ht="15" customHeight="1" thickBot="1">
      <c r="A96" s="268"/>
      <c r="B96" s="263" t="s">
        <v>166</v>
      </c>
      <c r="C96" s="264"/>
      <c r="D96" s="265"/>
      <c r="E96" s="283">
        <v>0</v>
      </c>
      <c r="F96" s="283">
        <v>0</v>
      </c>
      <c r="G96" s="283">
        <v>0</v>
      </c>
      <c r="H96" s="283">
        <v>0</v>
      </c>
      <c r="I96" s="283">
        <v>0</v>
      </c>
      <c r="J96" s="283">
        <v>15</v>
      </c>
      <c r="K96" s="283">
        <v>33</v>
      </c>
      <c r="L96" s="283">
        <v>48</v>
      </c>
      <c r="M96" s="283">
        <v>55</v>
      </c>
      <c r="N96" s="283">
        <v>56</v>
      </c>
      <c r="O96" s="283">
        <v>57</v>
      </c>
      <c r="P96" s="283">
        <v>56</v>
      </c>
      <c r="Q96" s="283">
        <v>57</v>
      </c>
      <c r="R96" s="283">
        <v>109</v>
      </c>
      <c r="S96" s="283">
        <v>226</v>
      </c>
      <c r="T96" s="283">
        <v>272</v>
      </c>
      <c r="U96" s="283">
        <v>215</v>
      </c>
      <c r="V96" s="283">
        <v>2</v>
      </c>
      <c r="W96" s="283">
        <v>0</v>
      </c>
      <c r="X96" s="283">
        <v>0</v>
      </c>
      <c r="Y96" s="283">
        <v>0</v>
      </c>
      <c r="Z96" s="283">
        <v>0</v>
      </c>
      <c r="AA96" s="283">
        <v>0</v>
      </c>
      <c r="AB96" s="284">
        <v>0</v>
      </c>
    </row>
  </sheetData>
  <mergeCells count="108">
    <mergeCell ref="A94:A96"/>
    <mergeCell ref="B94:D94"/>
    <mergeCell ref="B95:D95"/>
    <mergeCell ref="B96:D96"/>
    <mergeCell ref="A88:A90"/>
    <mergeCell ref="B88:D88"/>
    <mergeCell ref="B89:D89"/>
    <mergeCell ref="B90:D90"/>
    <mergeCell ref="A91:A93"/>
    <mergeCell ref="B91:D91"/>
    <mergeCell ref="B92:D92"/>
    <mergeCell ref="B93:D93"/>
    <mergeCell ref="A82:A84"/>
    <mergeCell ref="B82:D82"/>
    <mergeCell ref="B83:D83"/>
    <mergeCell ref="B84:D84"/>
    <mergeCell ref="A85:A87"/>
    <mergeCell ref="B85:D85"/>
    <mergeCell ref="B86:D86"/>
    <mergeCell ref="B87:D87"/>
    <mergeCell ref="A76:A78"/>
    <mergeCell ref="B76:D76"/>
    <mergeCell ref="B77:D77"/>
    <mergeCell ref="B78:D78"/>
    <mergeCell ref="A79:A81"/>
    <mergeCell ref="B79:D79"/>
    <mergeCell ref="B80:D80"/>
    <mergeCell ref="B81:D81"/>
    <mergeCell ref="B71:D71"/>
    <mergeCell ref="B72:D72"/>
    <mergeCell ref="A73:A75"/>
    <mergeCell ref="B73:D73"/>
    <mergeCell ref="B74:D74"/>
    <mergeCell ref="B75:D75"/>
    <mergeCell ref="A65:A67"/>
    <mergeCell ref="B65:D65"/>
    <mergeCell ref="B66:D66"/>
    <mergeCell ref="B67:D67"/>
    <mergeCell ref="B69:D69"/>
    <mergeCell ref="B70:D70"/>
    <mergeCell ref="A59:A61"/>
    <mergeCell ref="B59:D59"/>
    <mergeCell ref="B60:D60"/>
    <mergeCell ref="B61:D61"/>
    <mergeCell ref="A62:A64"/>
    <mergeCell ref="B62:D62"/>
    <mergeCell ref="B63:D63"/>
    <mergeCell ref="B64:D64"/>
    <mergeCell ref="A53:A55"/>
    <mergeCell ref="B53:D53"/>
    <mergeCell ref="B54:D54"/>
    <mergeCell ref="B55:D55"/>
    <mergeCell ref="A56:A58"/>
    <mergeCell ref="B56:D56"/>
    <mergeCell ref="B57:D57"/>
    <mergeCell ref="B58:D58"/>
    <mergeCell ref="A47:A49"/>
    <mergeCell ref="B47:D47"/>
    <mergeCell ref="B48:D48"/>
    <mergeCell ref="B49:D49"/>
    <mergeCell ref="A50:A52"/>
    <mergeCell ref="B50:D50"/>
    <mergeCell ref="B51:D51"/>
    <mergeCell ref="B52:D52"/>
    <mergeCell ref="B42:D42"/>
    <mergeCell ref="B43:D43"/>
    <mergeCell ref="A44:A46"/>
    <mergeCell ref="B44:D44"/>
    <mergeCell ref="B45:D45"/>
    <mergeCell ref="B46:D46"/>
    <mergeCell ref="A36:A38"/>
    <mergeCell ref="B36:D36"/>
    <mergeCell ref="B37:D37"/>
    <mergeCell ref="B38:D38"/>
    <mergeCell ref="B40:D40"/>
    <mergeCell ref="B41:D41"/>
    <mergeCell ref="A30:A32"/>
    <mergeCell ref="B30:D30"/>
    <mergeCell ref="B31:D31"/>
    <mergeCell ref="B32:D32"/>
    <mergeCell ref="A33:A35"/>
    <mergeCell ref="B33:D33"/>
    <mergeCell ref="B34:D34"/>
    <mergeCell ref="B35:D35"/>
    <mergeCell ref="A24:A26"/>
    <mergeCell ref="B24:D24"/>
    <mergeCell ref="B25:D25"/>
    <mergeCell ref="B26:D26"/>
    <mergeCell ref="A27:A29"/>
    <mergeCell ref="B27:D27"/>
    <mergeCell ref="B28:D28"/>
    <mergeCell ref="B29:D29"/>
    <mergeCell ref="A18:A20"/>
    <mergeCell ref="B18:D18"/>
    <mergeCell ref="B19:D19"/>
    <mergeCell ref="B20:D20"/>
    <mergeCell ref="A21:A23"/>
    <mergeCell ref="B21:D21"/>
    <mergeCell ref="B22:D22"/>
    <mergeCell ref="B23:D23"/>
    <mergeCell ref="B11:D11"/>
    <mergeCell ref="B12:D12"/>
    <mergeCell ref="B13:D13"/>
    <mergeCell ref="B14:D14"/>
    <mergeCell ref="A15:A17"/>
    <mergeCell ref="B15:D15"/>
    <mergeCell ref="B16:D16"/>
    <mergeCell ref="B17:D17"/>
  </mergeCells>
  <phoneticPr fontId="3"/>
  <printOptions horizontalCentered="1"/>
  <pageMargins left="0.59055118110236227" right="0.47244094488188981" top="0.62992125984251968" bottom="0.39370078740157483" header="0.39370078740157483" footer="0.15748031496062992"/>
  <pageSetup paperSize="9" scale="62" fitToHeight="0" orientation="landscape" horizontalDpi="400" verticalDpi="400" r:id="rId1"/>
  <headerFooter scaleWithDoc="0">
    <oddFooter>&amp;C&amp;"ＭＳ Ｐゴシック,標準"&amp;9( &amp;P / &amp;N )</oddFooter>
  </headerFooter>
  <rowBreaks count="2" manualBreakCount="2">
    <brk id="38" max="16383" man="1"/>
    <brk id="67" max="2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3"/>
  <sheetViews>
    <sheetView showGridLines="0" zoomScale="90" zoomScaleNormal="90" workbookViewId="0">
      <selection sqref="A1:E1"/>
    </sheetView>
  </sheetViews>
  <sheetFormatPr defaultColWidth="9.140625" defaultRowHeight="30" customHeight="1"/>
  <cols>
    <col min="1" max="1" width="69.28515625" style="9" customWidth="1"/>
    <col min="2" max="5" width="8" style="5" customWidth="1"/>
    <col min="6" max="16384" width="9.140625" style="5"/>
  </cols>
  <sheetData>
    <row r="1" spans="1:5" ht="30" customHeight="1">
      <c r="A1" s="1"/>
      <c r="B1" s="2"/>
      <c r="C1" s="3"/>
      <c r="D1" s="4" t="s">
        <v>0</v>
      </c>
      <c r="E1" s="2"/>
    </row>
    <row r="2" spans="1:5" ht="30" customHeight="1">
      <c r="A2" s="6"/>
    </row>
    <row r="3" spans="1:5" ht="30" customHeight="1">
      <c r="A3" s="6"/>
      <c r="D3" s="7"/>
    </row>
    <row r="4" spans="1:5" ht="30" customHeight="1">
      <c r="A4" s="6"/>
    </row>
    <row r="5" spans="1:5" ht="30" customHeight="1">
      <c r="A5" s="8" t="s">
        <v>199</v>
      </c>
    </row>
    <row r="6" spans="1:5" ht="30" customHeight="1">
      <c r="A6" s="6"/>
    </row>
    <row r="7" spans="1:5" ht="30" customHeight="1">
      <c r="A7" s="6" t="s">
        <v>200</v>
      </c>
    </row>
    <row r="8" spans="1:5" ht="30" customHeight="1">
      <c r="A8" s="6"/>
    </row>
    <row r="9" spans="1:5" ht="30" customHeight="1">
      <c r="A9" s="6"/>
    </row>
    <row r="10" spans="1:5" ht="30" customHeight="1">
      <c r="A10" s="6"/>
    </row>
    <row r="11" spans="1:5" ht="30" customHeight="1">
      <c r="A11" s="6"/>
    </row>
    <row r="12" spans="1:5" ht="30" customHeight="1">
      <c r="A12" s="6"/>
    </row>
    <row r="13" spans="1:5" ht="30" customHeight="1">
      <c r="A13" s="6"/>
    </row>
  </sheetData>
  <sheetProtection insertRows="0" deleteRows="0" sort="0" autoFilter="0"/>
  <phoneticPr fontId="3"/>
  <printOptions horizontalCentered="1"/>
  <pageMargins left="0.70866141732283472" right="0.70866141732283472" top="0.98425196850393704" bottom="0.51181102362204722" header="0.78740157480314965" footer="0.35433070866141736"/>
  <pageSetup paperSize="9" orientation="landscape" horizontalDpi="300" verticalDpi="300" r:id="rId1"/>
  <headerFooter scaleWithDoc="0">
    <oddFooter>&amp;C&amp;"ＭＳ Ｐゴシック,標準"&amp;9(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75</vt:i4>
      </vt:variant>
    </vt:vector>
  </HeadingPairs>
  <TitlesOfParts>
    <vt:vector size="104" baseType="lpstr">
      <vt:lpstr>表紙</vt:lpstr>
      <vt:lpstr>外界条件</vt:lpstr>
      <vt:lpstr>位置情報</vt:lpstr>
      <vt:lpstr>外気温度等</vt:lpstr>
      <vt:lpstr>ETD(OW1)</vt:lpstr>
      <vt:lpstr>非空調室温度</vt:lpstr>
      <vt:lpstr>ガラス日射（標準）</vt:lpstr>
      <vt:lpstr>ガラス日射（2F）</vt:lpstr>
      <vt:lpstr>熱貫流率</vt:lpstr>
      <vt:lpstr>熱貫流率表</vt:lpstr>
      <vt:lpstr>各室熱負荷</vt:lpstr>
      <vt:lpstr>201</vt:lpstr>
      <vt:lpstr>202</vt:lpstr>
      <vt:lpstr>203</vt:lpstr>
      <vt:lpstr>204</vt:lpstr>
      <vt:lpstr>205</vt:lpstr>
      <vt:lpstr>206</vt:lpstr>
      <vt:lpstr>207</vt:lpstr>
      <vt:lpstr>208</vt:lpstr>
      <vt:lpstr>209</vt:lpstr>
      <vt:lpstr>210</vt:lpstr>
      <vt:lpstr>211</vt:lpstr>
      <vt:lpstr>系統別集計</vt:lpstr>
      <vt:lpstr>ACU-2系統集計表</vt:lpstr>
      <vt:lpstr>ACU-2系統空気線図</vt:lpstr>
      <vt:lpstr>熱源集計</vt:lpstr>
      <vt:lpstr>RH-1系統冷熱源</vt:lpstr>
      <vt:lpstr>RH-1系統温熱源</vt:lpstr>
      <vt:lpstr>市水系統加湿源</vt:lpstr>
      <vt:lpstr>'201'!ID</vt:lpstr>
      <vt:lpstr>'202'!ID</vt:lpstr>
      <vt:lpstr>'203'!ID</vt:lpstr>
      <vt:lpstr>'204'!ID</vt:lpstr>
      <vt:lpstr>'205'!ID</vt:lpstr>
      <vt:lpstr>'206'!ID</vt:lpstr>
      <vt:lpstr>'207'!ID</vt:lpstr>
      <vt:lpstr>'208'!ID</vt:lpstr>
      <vt:lpstr>'209'!ID</vt:lpstr>
      <vt:lpstr>'210'!ID</vt:lpstr>
      <vt:lpstr>'211'!ID</vt:lpstr>
      <vt:lpstr>外界条件!ID</vt:lpstr>
      <vt:lpstr>各室熱負荷!ID</vt:lpstr>
      <vt:lpstr>系統別集計!ID</vt:lpstr>
      <vt:lpstr>熱貫流率!ID</vt:lpstr>
      <vt:lpstr>熱源集計!ID</vt:lpstr>
      <vt:lpstr>表紙!ID</vt:lpstr>
      <vt:lpstr>'201'!Print_Area</vt:lpstr>
      <vt:lpstr>'202'!Print_Area</vt:lpstr>
      <vt:lpstr>'203'!Print_Area</vt:lpstr>
      <vt:lpstr>'204'!Print_Area</vt:lpstr>
      <vt:lpstr>'205'!Print_Area</vt:lpstr>
      <vt:lpstr>'206'!Print_Area</vt:lpstr>
      <vt:lpstr>'207'!Print_Area</vt:lpstr>
      <vt:lpstr>'208'!Print_Area</vt:lpstr>
      <vt:lpstr>'209'!Print_Area</vt:lpstr>
      <vt:lpstr>'210'!Print_Area</vt:lpstr>
      <vt:lpstr>'211'!Print_Area</vt:lpstr>
      <vt:lpstr>'ACU-2系統集計表'!Print_Area</vt:lpstr>
      <vt:lpstr>'RH-1系統温熱源'!Print_Area</vt:lpstr>
      <vt:lpstr>'RH-1系統冷熱源'!Print_Area</vt:lpstr>
      <vt:lpstr>'ガラス日射（2F）'!Print_Area</vt:lpstr>
      <vt:lpstr>'ガラス日射（標準）'!Print_Area</vt:lpstr>
      <vt:lpstr>位置情報!Print_Area</vt:lpstr>
      <vt:lpstr>外界条件!Print_Area</vt:lpstr>
      <vt:lpstr>各室熱負荷!Print_Area</vt:lpstr>
      <vt:lpstr>系統別集計!Print_Area</vt:lpstr>
      <vt:lpstr>市水系統加湿源!Print_Area</vt:lpstr>
      <vt:lpstr>熱貫流率!Print_Area</vt:lpstr>
      <vt:lpstr>熱貫流率表!Print_Area</vt:lpstr>
      <vt:lpstr>熱源集計!Print_Area</vt:lpstr>
      <vt:lpstr>非空調室温度!Print_Area</vt:lpstr>
      <vt:lpstr>表紙!Print_Area</vt:lpstr>
      <vt:lpstr>'ACU-2系統集計表'!Print_Titles</vt:lpstr>
      <vt:lpstr>'RH-1系統温熱源'!Print_Titles</vt:lpstr>
      <vt:lpstr>'RH-1系統冷熱源'!Print_Titles</vt:lpstr>
      <vt:lpstr>'ガラス日射（2F）'!Print_Titles</vt:lpstr>
      <vt:lpstr>'ガラス日射（標準）'!Print_Titles</vt:lpstr>
      <vt:lpstr>市水系統加湿源!Print_Titles</vt:lpstr>
      <vt:lpstr>熱貫流率表!Print_Titles</vt:lpstr>
      <vt:lpstr>表紙!会社名</vt:lpstr>
      <vt:lpstr>表紙!顧客名</vt:lpstr>
      <vt:lpstr>'201'!室NO</vt:lpstr>
      <vt:lpstr>'202'!室NO</vt:lpstr>
      <vt:lpstr>'203'!室NO</vt:lpstr>
      <vt:lpstr>'204'!室NO</vt:lpstr>
      <vt:lpstr>'205'!室NO</vt:lpstr>
      <vt:lpstr>'206'!室NO</vt:lpstr>
      <vt:lpstr>'207'!室NO</vt:lpstr>
      <vt:lpstr>'208'!室NO</vt:lpstr>
      <vt:lpstr>'209'!室NO</vt:lpstr>
      <vt:lpstr>'210'!室NO</vt:lpstr>
      <vt:lpstr>'211'!室NO</vt:lpstr>
      <vt:lpstr>表紙!日付</vt:lpstr>
      <vt:lpstr>'201'!面積</vt:lpstr>
      <vt:lpstr>'202'!面積</vt:lpstr>
      <vt:lpstr>'203'!面積</vt:lpstr>
      <vt:lpstr>'204'!面積</vt:lpstr>
      <vt:lpstr>'205'!面積</vt:lpstr>
      <vt:lpstr>'206'!面積</vt:lpstr>
      <vt:lpstr>'207'!面積</vt:lpstr>
      <vt:lpstr>'208'!面積</vt:lpstr>
      <vt:lpstr>'209'!面積</vt:lpstr>
      <vt:lpstr>'210'!面積</vt:lpstr>
      <vt:lpstr>'211'!面積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Bohra Staff</dc:creator>
  <cp:lastModifiedBy>Bohra Staff</cp:lastModifiedBy>
  <cp:lastPrinted>2017-05-28T03:27:01Z</cp:lastPrinted>
  <dcterms:created xsi:type="dcterms:W3CDTF">2017-05-28T03:23:22Z</dcterms:created>
  <dcterms:modified xsi:type="dcterms:W3CDTF">2017-05-28T03:27:55Z</dcterms:modified>
</cp:coreProperties>
</file>